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elEst\Data\Feasibility Studies\H185357 (CapeFearMemBridge)\Updates by Dan 08-2023\"/>
    </mc:Choice>
  </mc:AlternateContent>
  <xr:revisionPtr revIDLastSave="0" documentId="13_ncr:1_{D5E2F587-8EEE-4CCA-B249-B719243F82E9}" xr6:coauthVersionLast="47" xr6:coauthVersionMax="47" xr10:uidLastSave="{00000000-0000-0000-0000-000000000000}"/>
  <bookViews>
    <workbookView xWindow="-30828" yWindow="-2904" windowWidth="30936" windowHeight="16896" tabRatio="919" xr2:uid="{00000000-000D-0000-FFFF-FFFF00000000}"/>
  </bookViews>
  <sheets>
    <sheet name="H185357_135 ftFixedSpan08242023" sheetId="91" r:id="rId1"/>
    <sheet name="H185357_W of Bridge F 08242023" sheetId="95" r:id="rId2"/>
    <sheet name="H185357_Wof Bridge(tmp)08242023" sheetId="96" r:id="rId3"/>
    <sheet name="Sheet1" sheetId="73" r:id="rId4"/>
  </sheets>
  <definedNames>
    <definedName name="_xlnm.Print_Area" localSheetId="0">'H185357_135 ftFixedSpan08242023'!$A$1:$H$85</definedName>
    <definedName name="_xlnm.Print_Area" localSheetId="1">'H185357_W of Bridge F 08242023'!$A$1:$H$86</definedName>
    <definedName name="_xlnm.Print_Area" localSheetId="2">'H185357_Wof Bridge(tmp)08242023'!$A$1:$H$84</definedName>
    <definedName name="_xlnm.Print_Titles" localSheetId="0">'H185357_135 ftFixedSpan08242023'!$1:$1</definedName>
    <definedName name="_xlnm.Print_Titles" localSheetId="1">'H185357_W of Bridge F 08242023'!$1:$1</definedName>
    <definedName name="_xlnm.Print_Titles" localSheetId="2">'H185357_Wof Bridge(tmp)08242023'!$1:$1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91" l="1"/>
  <c r="G78" i="95"/>
  <c r="G77" i="95"/>
  <c r="G76" i="95"/>
  <c r="G75" i="95"/>
  <c r="H12" i="96" l="1"/>
  <c r="H12" i="95"/>
  <c r="H14" i="96"/>
  <c r="H15" i="96"/>
  <c r="H16" i="96"/>
  <c r="H19" i="96"/>
  <c r="H20" i="96"/>
  <c r="H21" i="96"/>
  <c r="E22" i="96"/>
  <c r="H22" i="96" s="1"/>
  <c r="H23" i="96"/>
  <c r="H24" i="96"/>
  <c r="H25" i="96"/>
  <c r="E26" i="96"/>
  <c r="H26" i="96"/>
  <c r="H27" i="96"/>
  <c r="E29" i="96"/>
  <c r="H29" i="96" s="1"/>
  <c r="E32" i="96"/>
  <c r="E13" i="96" s="1"/>
  <c r="H13" i="96" s="1"/>
  <c r="H33" i="96"/>
  <c r="H35" i="96"/>
  <c r="H37" i="96"/>
  <c r="H40" i="96"/>
  <c r="H41" i="96"/>
  <c r="H42" i="96"/>
  <c r="H43" i="96"/>
  <c r="H45" i="96"/>
  <c r="H49" i="96"/>
  <c r="H52" i="96"/>
  <c r="H55" i="96"/>
  <c r="E59" i="96"/>
  <c r="H59" i="96"/>
  <c r="E60" i="96"/>
  <c r="H60" i="96" s="1"/>
  <c r="E61" i="96"/>
  <c r="H61" i="96" s="1"/>
  <c r="E63" i="96"/>
  <c r="H63" i="96" s="1"/>
  <c r="E64" i="96"/>
  <c r="H64" i="96" s="1"/>
  <c r="E65" i="96"/>
  <c r="H65" i="96"/>
  <c r="E66" i="96"/>
  <c r="H66" i="96" s="1"/>
  <c r="E67" i="96"/>
  <c r="H67" i="96" s="1"/>
  <c r="H70" i="96"/>
  <c r="J76" i="96" s="1"/>
  <c r="H71" i="96"/>
  <c r="H73" i="96"/>
  <c r="H76" i="96"/>
  <c r="E13" i="95"/>
  <c r="H13" i="95" s="1"/>
  <c r="H14" i="95"/>
  <c r="H15" i="95"/>
  <c r="E16" i="95"/>
  <c r="H16" i="95" s="1"/>
  <c r="H19" i="95"/>
  <c r="H20" i="95"/>
  <c r="H21" i="95"/>
  <c r="E22" i="95"/>
  <c r="H22" i="95"/>
  <c r="H23" i="95"/>
  <c r="H24" i="95"/>
  <c r="H25" i="95"/>
  <c r="E26" i="95"/>
  <c r="H26" i="95" s="1"/>
  <c r="E27" i="95"/>
  <c r="H27" i="95" s="1"/>
  <c r="E32" i="95"/>
  <c r="E33" i="95"/>
  <c r="H33" i="95" s="1"/>
  <c r="H35" i="95"/>
  <c r="E37" i="95"/>
  <c r="H37" i="95" s="1"/>
  <c r="H40" i="95"/>
  <c r="H41" i="95"/>
  <c r="H42" i="95"/>
  <c r="H43" i="95"/>
  <c r="H45" i="95"/>
  <c r="H49" i="95"/>
  <c r="H52" i="95"/>
  <c r="H53" i="95"/>
  <c r="H56" i="95"/>
  <c r="E60" i="95"/>
  <c r="H60" i="95" s="1"/>
  <c r="E61" i="95"/>
  <c r="H61" i="95" s="1"/>
  <c r="E62" i="95"/>
  <c r="H62" i="95" s="1"/>
  <c r="E63" i="95"/>
  <c r="H63" i="95" s="1"/>
  <c r="E64" i="95"/>
  <c r="H64" i="95" s="1"/>
  <c r="E65" i="95"/>
  <c r="H65" i="95" s="1"/>
  <c r="E66" i="95"/>
  <c r="H66" i="95" s="1"/>
  <c r="H71" i="95"/>
  <c r="E72" i="95"/>
  <c r="H72" i="95" s="1"/>
  <c r="H75" i="95"/>
  <c r="H76" i="95"/>
  <c r="H77" i="95"/>
  <c r="H78" i="95"/>
  <c r="H32" i="96" l="1"/>
  <c r="J80" i="95"/>
  <c r="H80" i="95" s="1"/>
  <c r="E68" i="95"/>
  <c r="H68" i="95" s="1"/>
  <c r="J78" i="95"/>
  <c r="E47" i="95"/>
  <c r="H47" i="95" s="1"/>
  <c r="E67" i="95"/>
  <c r="H67" i="95" s="1"/>
  <c r="E62" i="96"/>
  <c r="H62" i="96" s="1"/>
  <c r="J78" i="96" s="1"/>
  <c r="H78" i="96" s="1"/>
  <c r="E47" i="96"/>
  <c r="H47" i="96" s="1"/>
  <c r="H32" i="95"/>
  <c r="E29" i="95"/>
  <c r="H29" i="95" s="1"/>
  <c r="J67" i="96" l="1"/>
  <c r="J79" i="96"/>
  <c r="G11" i="96" s="1"/>
  <c r="H11" i="96" s="1"/>
  <c r="H80" i="96" s="1"/>
  <c r="H82" i="96" s="1"/>
  <c r="H81" i="96" s="1"/>
  <c r="J81" i="95"/>
  <c r="G11" i="95" s="1"/>
  <c r="H11" i="95" s="1"/>
  <c r="J68" i="95"/>
  <c r="H4" i="96" l="1"/>
  <c r="H79" i="96"/>
  <c r="H81" i="95"/>
  <c r="H82" i="95"/>
  <c r="H84" i="95" s="1"/>
  <c r="H4" i="95" l="1"/>
  <c r="H83" i="95"/>
  <c r="H12" i="91"/>
  <c r="H74" i="91" l="1"/>
  <c r="H73" i="91"/>
  <c r="H72" i="91"/>
  <c r="H69" i="91"/>
  <c r="H68" i="91"/>
  <c r="E65" i="91"/>
  <c r="H65" i="91" s="1"/>
  <c r="H64" i="91"/>
  <c r="E63" i="91"/>
  <c r="H63" i="91" s="1"/>
  <c r="E62" i="91"/>
  <c r="H62" i="91" s="1"/>
  <c r="E61" i="91"/>
  <c r="H61" i="91" s="1"/>
  <c r="E60" i="91"/>
  <c r="H60" i="91" s="1"/>
  <c r="E59" i="91"/>
  <c r="H59" i="91" s="1"/>
  <c r="E58" i="91"/>
  <c r="H58" i="91" s="1"/>
  <c r="E57" i="91"/>
  <c r="H57" i="91" s="1"/>
  <c r="H54" i="91"/>
  <c r="H53" i="91"/>
  <c r="H50" i="91"/>
  <c r="H49" i="91"/>
  <c r="H47" i="91"/>
  <c r="E45" i="91"/>
  <c r="H45" i="91" s="1"/>
  <c r="H43" i="91"/>
  <c r="H42" i="91"/>
  <c r="H41" i="91"/>
  <c r="H40" i="91"/>
  <c r="E37" i="91"/>
  <c r="H37" i="91" s="1"/>
  <c r="H35" i="91"/>
  <c r="E33" i="91"/>
  <c r="H33" i="91" s="1"/>
  <c r="E32" i="91"/>
  <c r="H32" i="91" s="1"/>
  <c r="H27" i="91"/>
  <c r="H26" i="91"/>
  <c r="H25" i="91"/>
  <c r="H24" i="91"/>
  <c r="H23" i="91"/>
  <c r="H22" i="91"/>
  <c r="H21" i="91"/>
  <c r="H20" i="91"/>
  <c r="H19" i="91"/>
  <c r="E16" i="91"/>
  <c r="H16" i="91" s="1"/>
  <c r="H15" i="91"/>
  <c r="H14" i="91"/>
  <c r="E13" i="91"/>
  <c r="H13" i="91" s="1"/>
  <c r="J79" i="91" l="1"/>
  <c r="H79" i="91" s="1"/>
  <c r="E29" i="91"/>
  <c r="H29" i="91" s="1"/>
  <c r="J65" i="91" s="1"/>
  <c r="J80" i="91" l="1"/>
  <c r="G11" i="91" s="1"/>
  <c r="H11" i="91" s="1"/>
  <c r="H81" i="91" s="1"/>
  <c r="H83" i="91" s="1"/>
  <c r="H80" i="91" l="1"/>
  <c r="H82" i="91"/>
  <c r="H4" i="9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Harry A. Lucas II</author>
  </authors>
  <commentList>
    <comment ref="G72" authorId="0" shapeId="0" xr:uid="{2166F9CD-CC28-4BC5-AE42-D9732872C91D}">
      <text>
        <r>
          <rPr>
            <b/>
            <sz val="9"/>
            <color indexed="81"/>
            <rFont val="Tahoma"/>
            <family val="2"/>
          </rPr>
          <t>Harry A. Lucas :</t>
        </r>
        <r>
          <rPr>
            <sz val="9"/>
            <color indexed="81"/>
            <rFont val="Tahoma"/>
            <family val="2"/>
          </rPr>
          <t xml:space="preserve">
 $506 low / $775 high</t>
        </r>
      </text>
    </comment>
  </commentList>
</comments>
</file>

<file path=xl/sharedStrings.xml><?xml version="1.0" encoding="utf-8"?>
<sst xmlns="http://schemas.openxmlformats.org/spreadsheetml/2006/main" count="434" uniqueCount="117">
  <si>
    <t>TIP No.</t>
  </si>
  <si>
    <t>County:</t>
  </si>
  <si>
    <t>Route</t>
  </si>
  <si>
    <t>From</t>
  </si>
  <si>
    <t>Typical Section</t>
  </si>
  <si>
    <t>Prepared By:</t>
  </si>
  <si>
    <t>Requested By:</t>
  </si>
  <si>
    <t>Line Item</t>
  </si>
  <si>
    <t>Des</t>
  </si>
  <si>
    <t>Sec No.</t>
  </si>
  <si>
    <t>Description</t>
  </si>
  <si>
    <t>Unit</t>
  </si>
  <si>
    <t>Price</t>
  </si>
  <si>
    <t>Amount</t>
  </si>
  <si>
    <t xml:space="preserve"> </t>
  </si>
  <si>
    <t>LS</t>
  </si>
  <si>
    <t>Contract Cost</t>
  </si>
  <si>
    <t>…………………………………………</t>
  </si>
  <si>
    <t>………………….</t>
  </si>
  <si>
    <t>Construction Cost</t>
  </si>
  <si>
    <t>Clearing and Grubbing</t>
  </si>
  <si>
    <t>Miles</t>
  </si>
  <si>
    <t>Acre</t>
  </si>
  <si>
    <t>CY</t>
  </si>
  <si>
    <t>SY</t>
  </si>
  <si>
    <t>Fine Grading</t>
  </si>
  <si>
    <t>Erosion Control</t>
  </si>
  <si>
    <t>LF</t>
  </si>
  <si>
    <t>Traffic Control</t>
  </si>
  <si>
    <t>Thermo and Markers</t>
  </si>
  <si>
    <t>Drainage</t>
  </si>
  <si>
    <t xml:space="preserve">Note:  </t>
  </si>
  <si>
    <t>Lgth</t>
  </si>
  <si>
    <t>Right-of-Way and R/W Utilities are not included in cost shown above.</t>
  </si>
  <si>
    <t>Each</t>
  </si>
  <si>
    <t>CONSTR.COST</t>
  </si>
  <si>
    <t>Utility Construction</t>
  </si>
  <si>
    <t>Misc. &amp;  Mob    (15% Strs &amp; Util)</t>
  </si>
  <si>
    <t>Misc. &amp;  Mob    (45% Roadway)</t>
  </si>
  <si>
    <t>Pavement</t>
  </si>
  <si>
    <t>Per Utility Section</t>
  </si>
  <si>
    <t>Guardrail</t>
  </si>
  <si>
    <t>New Guardrail</t>
  </si>
  <si>
    <t>Anchors</t>
  </si>
  <si>
    <t>Removal of Existing Asphalt Pavement</t>
  </si>
  <si>
    <t>1-Ln Ramps</t>
  </si>
  <si>
    <t>New and Widening</t>
  </si>
  <si>
    <t>Resurfacing</t>
  </si>
  <si>
    <t xml:space="preserve">2-Ln </t>
  </si>
  <si>
    <t>Remove Existing Guardrail</t>
  </si>
  <si>
    <t xml:space="preserve">4-Ln </t>
  </si>
  <si>
    <t>Priced By:</t>
  </si>
  <si>
    <t xml:space="preserve">3-Ln </t>
  </si>
  <si>
    <t>2-Ln Ramps</t>
  </si>
  <si>
    <t>Unclassified Excavation</t>
  </si>
  <si>
    <t>Borrow Excavation</t>
  </si>
  <si>
    <t xml:space="preserve">6-Ln </t>
  </si>
  <si>
    <t xml:space="preserve">8-Ln </t>
  </si>
  <si>
    <t>1-Ln Loops</t>
  </si>
  <si>
    <t>5-Ln</t>
  </si>
  <si>
    <t>Structures</t>
  </si>
  <si>
    <t>Concrete Curb and Gutter 2-6</t>
  </si>
  <si>
    <t>End Units</t>
  </si>
  <si>
    <t>Signing</t>
  </si>
  <si>
    <t>H185357</t>
  </si>
  <si>
    <t>Overhead Sign Structure Removal</t>
  </si>
  <si>
    <t>Traffic Signal Modification</t>
  </si>
  <si>
    <t xml:space="preserve"> BRUNSWICK</t>
  </si>
  <si>
    <t>NEW HANOVER/</t>
  </si>
  <si>
    <t>Traffic Signal Removal</t>
  </si>
  <si>
    <t>CFMB Bridge Replacement</t>
  </si>
  <si>
    <t>SF</t>
  </si>
  <si>
    <t>Bridge Replacement - Interchange Signing</t>
  </si>
  <si>
    <t>Sidewalk / Multi Use Pathway</t>
  </si>
  <si>
    <t>Includes barrier for MultiUse Pathway</t>
  </si>
  <si>
    <t>Sonya Tankersley, PE</t>
  </si>
  <si>
    <t>Due Date:</t>
  </si>
  <si>
    <t>HDR Engineering- Jeff Dayton, PE / Phillip Hutcherson, PE</t>
  </si>
  <si>
    <t>Func</t>
  </si>
  <si>
    <t>Philip Culpepper / Sherry Sockwell / HDR</t>
  </si>
  <si>
    <t>Bridge Removal (55' x 2400') (per Structure Design)</t>
  </si>
  <si>
    <t>Mid-Level Approach Spans (per Structure Design)</t>
  </si>
  <si>
    <t>High-Level Approach Spans (1400' each side) (Str. Design)</t>
  </si>
  <si>
    <t>Main Channel Segmental Unit (1100' x 137.7') (per HDR)</t>
  </si>
  <si>
    <t>Movable Bridge Removal (55' X 600') (HDR)</t>
  </si>
  <si>
    <t>Updated Unit Prices 3/23/2022</t>
  </si>
  <si>
    <t>Utility Update</t>
  </si>
  <si>
    <t>Mobilization</t>
  </si>
  <si>
    <t>Construction Surveying</t>
  </si>
  <si>
    <t>E. &amp; C.   16%</t>
  </si>
  <si>
    <t>Misc.  (10% Strs&amp;Util)</t>
  </si>
  <si>
    <t>Misc.  (40% Rdy)</t>
  </si>
  <si>
    <t>Right-of-Way and Relocation Utilities Costs are not included in cost shown above.</t>
  </si>
  <si>
    <t>Sewer Items (per Utility Section, 6/29/2021)</t>
  </si>
  <si>
    <t>Sewer Line (per Utility Section, 6/29/2021)</t>
  </si>
  <si>
    <t>Water Items (per Utility Section, 6/29/2021)</t>
  </si>
  <si>
    <t>Water Line (per Utility Section, 6/29/2021)</t>
  </si>
  <si>
    <t>Bridge Removal (60'X215')</t>
  </si>
  <si>
    <t>Bridge added to previous option</t>
  </si>
  <si>
    <t>(per Greg Hall / Lighting 3/17/2022)</t>
  </si>
  <si>
    <t>Bridge Replacement - Interchange Lighting (30 poles)</t>
  </si>
  <si>
    <t>Lighting</t>
  </si>
  <si>
    <t>Median Barrier</t>
  </si>
  <si>
    <t>Philip Culpepper / Sherry Sockwell</t>
  </si>
  <si>
    <t>Sonya Tankersley, PE / NCDOT</t>
  </si>
  <si>
    <t>HDR Engineering - Jeff Dayton, PE / Phillip Hutcherson, PE</t>
  </si>
  <si>
    <t>(West of Bridge)</t>
  </si>
  <si>
    <t>Temp Bridge</t>
  </si>
  <si>
    <t>Bridge Replacement - Temp Interchange Lighting (30 poles)</t>
  </si>
  <si>
    <t>Bridge Replacement - Temp Interchange Signing</t>
  </si>
  <si>
    <t>(West of Bridge, Temporary)</t>
  </si>
  <si>
    <r>
      <t xml:space="preserve">Utility Construction </t>
    </r>
    <r>
      <rPr>
        <b/>
        <u/>
        <sz val="10"/>
        <color rgb="FFFF0000"/>
        <rFont val="Times New Roman"/>
        <family val="1"/>
      </rPr>
      <t>(used an inflation factor to update to 2023)</t>
    </r>
  </si>
  <si>
    <t>CM&amp;R of Temp Access included in new br sf costs</t>
  </si>
  <si>
    <t>Prices updated by Dan Shuller/Harry Lucas</t>
  </si>
  <si>
    <t>Prices updated by Dan Shuller/Harry Lucas/Sherry Sockwell</t>
  </si>
  <si>
    <t>UC update 9/27/2023</t>
  </si>
  <si>
    <t>Utility Construction (Utilities Unit 9/26/2023)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</si>
</sst>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mm/dd/yy"/>
    <numFmt numFmtId="168" formatCode="_(&quot;$&quot;* #,##0_);_(&quot;$&quot;* \(#,##0\);_(&quot;$&quot;* &quot;-&quot;??_);_(@_)"/>
  </numFmts>
  <fonts count="21" x14ac:knownFonts="1">
    <font>
      <sz val="10"/>
      <name val="Times New Roman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Accounting"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u/>
      <sz val="10"/>
      <name val="Times New Roman"/>
      <family val="1"/>
    </font>
    <font>
      <sz val="10"/>
      <color rgb="FF00B0F0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b/>
      <u/>
      <sz val="10"/>
      <color rgb="FFFF0000"/>
      <name val="Times New Roman"/>
      <family val="1"/>
    </font>
    <font>
      <b/>
      <sz val="10"/>
      <color rgb="FF00B050"/>
      <name val="Times New Roman"/>
      <family val="1"/>
    </font>
    <font>
      <sz val="10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41">
    <xf numFmtId="0" fontId="0" fillId="0" borderId="0" xfId="0"/>
    <xf numFmtId="0" fontId="5" fillId="0" borderId="0" xfId="3" applyFont="1"/>
    <xf numFmtId="0" fontId="2" fillId="0" borderId="1" xfId="3" applyFont="1" applyBorder="1" applyAlignment="1">
      <alignment horizontal="center" wrapText="1"/>
    </xf>
    <xf numFmtId="0" fontId="6" fillId="0" borderId="2" xfId="3" applyFont="1" applyBorder="1" applyAlignment="1">
      <alignment horizontal="center" wrapText="1"/>
    </xf>
    <xf numFmtId="0" fontId="6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3" fillId="0" borderId="4" xfId="3" applyFont="1" applyBorder="1" applyAlignment="1">
      <alignment horizontal="left"/>
    </xf>
    <xf numFmtId="0" fontId="5" fillId="0" borderId="4" xfId="3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44" fontId="5" fillId="0" borderId="0" xfId="2" applyFont="1"/>
    <xf numFmtId="44" fontId="3" fillId="0" borderId="6" xfId="2" applyFont="1" applyBorder="1" applyAlignment="1">
      <alignment horizontal="center"/>
    </xf>
    <xf numFmtId="44" fontId="3" fillId="0" borderId="7" xfId="2" applyFont="1" applyBorder="1" applyAlignment="1">
      <alignment horizontal="center"/>
    </xf>
    <xf numFmtId="0" fontId="5" fillId="0" borderId="0" xfId="3" applyFont="1" applyAlignment="1">
      <alignment horizontal="right"/>
    </xf>
    <xf numFmtId="166" fontId="5" fillId="0" borderId="4" xfId="1" applyNumberFormat="1" applyFont="1" applyBorder="1" applyAlignment="1">
      <alignment horizontal="center"/>
    </xf>
    <xf numFmtId="0" fontId="5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44" fontId="8" fillId="0" borderId="0" xfId="2" applyFont="1"/>
    <xf numFmtId="0" fontId="9" fillId="0" borderId="0" xfId="3" applyFont="1"/>
    <xf numFmtId="6" fontId="5" fillId="0" borderId="0" xfId="2" applyNumberFormat="1" applyFont="1"/>
    <xf numFmtId="0" fontId="2" fillId="0" borderId="0" xfId="3" applyFont="1" applyAlignment="1">
      <alignment horizontal="right"/>
    </xf>
    <xf numFmtId="0" fontId="10" fillId="0" borderId="0" xfId="3" applyFont="1" applyAlignment="1">
      <alignment horizontal="right"/>
    </xf>
    <xf numFmtId="0" fontId="2" fillId="0" borderId="0" xfId="3" applyFont="1"/>
    <xf numFmtId="6" fontId="2" fillId="0" borderId="0" xfId="2" applyNumberFormat="1" applyFont="1" applyAlignment="1">
      <alignment horizontal="center"/>
    </xf>
    <xf numFmtId="0" fontId="6" fillId="0" borderId="0" xfId="0" applyFont="1"/>
    <xf numFmtId="166" fontId="5" fillId="0" borderId="5" xfId="1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6" fillId="0" borderId="0" xfId="3" applyFont="1"/>
    <xf numFmtId="0" fontId="11" fillId="0" borderId="0" xfId="3" applyFont="1" applyAlignment="1">
      <alignment horizontal="center"/>
    </xf>
    <xf numFmtId="44" fontId="5" fillId="0" borderId="0" xfId="3" applyNumberFormat="1" applyFont="1"/>
    <xf numFmtId="44" fontId="6" fillId="0" borderId="10" xfId="2" applyFont="1" applyBorder="1" applyAlignment="1">
      <alignment horizontal="center"/>
    </xf>
    <xf numFmtId="44" fontId="5" fillId="0" borderId="0" xfId="2" applyFont="1" applyAlignment="1">
      <alignment horizontal="right"/>
    </xf>
    <xf numFmtId="0" fontId="6" fillId="0" borderId="4" xfId="3" applyFont="1" applyBorder="1" applyAlignment="1">
      <alignment horizontal="center"/>
    </xf>
    <xf numFmtId="0" fontId="6" fillId="0" borderId="0" xfId="3" applyFont="1" applyAlignment="1">
      <alignment horizontal="right"/>
    </xf>
    <xf numFmtId="0" fontId="5" fillId="0" borderId="3" xfId="3" applyFont="1" applyBorder="1" applyAlignment="1">
      <alignment horizontal="left"/>
    </xf>
    <xf numFmtId="0" fontId="6" fillId="0" borderId="0" xfId="3" applyFont="1" applyAlignment="1">
      <alignment horizontal="center"/>
    </xf>
    <xf numFmtId="0" fontId="10" fillId="0" borderId="0" xfId="3" applyFont="1"/>
    <xf numFmtId="0" fontId="3" fillId="0" borderId="0" xfId="3" applyFont="1"/>
    <xf numFmtId="0" fontId="10" fillId="0" borderId="4" xfId="3" applyFont="1" applyBorder="1" applyAlignment="1">
      <alignment horizontal="left"/>
    </xf>
    <xf numFmtId="0" fontId="10" fillId="0" borderId="0" xfId="3" applyFont="1" applyAlignment="1">
      <alignment horizontal="center"/>
    </xf>
    <xf numFmtId="2" fontId="6" fillId="0" borderId="0" xfId="3" applyNumberFormat="1" applyFont="1"/>
    <xf numFmtId="44" fontId="6" fillId="0" borderId="13" xfId="2" applyFont="1" applyFill="1" applyBorder="1" applyAlignment="1">
      <alignment horizontal="center"/>
    </xf>
    <xf numFmtId="164" fontId="2" fillId="0" borderId="12" xfId="2" applyNumberFormat="1" applyFont="1" applyFill="1" applyBorder="1" applyAlignment="1">
      <alignment horizontal="center"/>
    </xf>
    <xf numFmtId="0" fontId="2" fillId="0" borderId="4" xfId="3" applyFont="1" applyBorder="1" applyAlignment="1">
      <alignment horizontal="center"/>
    </xf>
    <xf numFmtId="14" fontId="2" fillId="0" borderId="0" xfId="3" applyNumberFormat="1" applyFont="1"/>
    <xf numFmtId="0" fontId="2" fillId="0" borderId="14" xfId="3" applyFont="1" applyBorder="1" applyAlignment="1">
      <alignment horizontal="center"/>
    </xf>
    <xf numFmtId="0" fontId="13" fillId="0" borderId="0" xfId="3" applyFont="1"/>
    <xf numFmtId="0" fontId="3" fillId="2" borderId="4" xfId="3" applyFont="1" applyFill="1" applyBorder="1" applyAlignment="1">
      <alignment horizontal="left"/>
    </xf>
    <xf numFmtId="0" fontId="3" fillId="0" borderId="3" xfId="3" applyFont="1" applyBorder="1" applyAlignment="1">
      <alignment horizontal="center"/>
    </xf>
    <xf numFmtId="0" fontId="3" fillId="0" borderId="3" xfId="3" applyFont="1" applyBorder="1" applyAlignment="1">
      <alignment horizontal="left"/>
    </xf>
    <xf numFmtId="166" fontId="3" fillId="2" borderId="4" xfId="1" applyNumberFormat="1" applyFont="1" applyFill="1" applyBorder="1" applyAlignment="1">
      <alignment horizontal="center"/>
    </xf>
    <xf numFmtId="43" fontId="3" fillId="2" borderId="4" xfId="1" applyFont="1" applyFill="1" applyBorder="1" applyAlignment="1">
      <alignment horizontal="center"/>
    </xf>
    <xf numFmtId="165" fontId="3" fillId="2" borderId="4" xfId="1" applyNumberFormat="1" applyFont="1" applyFill="1" applyBorder="1" applyAlignment="1">
      <alignment horizontal="center"/>
    </xf>
    <xf numFmtId="44" fontId="3" fillId="0" borderId="15" xfId="2" applyFont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166" fontId="3" fillId="0" borderId="4" xfId="1" applyNumberFormat="1" applyFont="1" applyFill="1" applyBorder="1" applyAlignment="1">
      <alignment horizontal="center"/>
    </xf>
    <xf numFmtId="165" fontId="3" fillId="0" borderId="4" xfId="1" applyNumberFormat="1" applyFont="1" applyFill="1" applyBorder="1" applyAlignment="1">
      <alignment horizontal="center"/>
    </xf>
    <xf numFmtId="44" fontId="2" fillId="0" borderId="11" xfId="2" applyFont="1" applyFill="1" applyBorder="1" applyAlignment="1">
      <alignment horizontal="left"/>
    </xf>
    <xf numFmtId="44" fontId="2" fillId="0" borderId="0" xfId="2" applyFont="1"/>
    <xf numFmtId="43" fontId="3" fillId="0" borderId="0" xfId="3" applyNumberFormat="1" applyFont="1"/>
    <xf numFmtId="0" fontId="14" fillId="0" borderId="0" xfId="3" applyFont="1"/>
    <xf numFmtId="14" fontId="5" fillId="0" borderId="0" xfId="2" applyNumberFormat="1" applyFont="1" applyAlignment="1">
      <alignment horizontal="center"/>
    </xf>
    <xf numFmtId="44" fontId="3" fillId="0" borderId="0" xfId="2" applyFont="1" applyAlignment="1">
      <alignment horizontal="right"/>
    </xf>
    <xf numFmtId="14" fontId="5" fillId="0" borderId="0" xfId="3" applyNumberFormat="1" applyFont="1" applyAlignment="1">
      <alignment horizontal="center"/>
    </xf>
    <xf numFmtId="44" fontId="2" fillId="0" borderId="0" xfId="2" applyFont="1" applyFill="1" applyBorder="1" applyAlignment="1">
      <alignment horizontal="left"/>
    </xf>
    <xf numFmtId="44" fontId="6" fillId="0" borderId="0" xfId="2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44" fontId="5" fillId="0" borderId="0" xfId="2" applyFont="1" applyBorder="1"/>
    <xf numFmtId="44" fontId="6" fillId="0" borderId="0" xfId="2" applyFont="1" applyBorder="1" applyAlignment="1">
      <alignment horizontal="center"/>
    </xf>
    <xf numFmtId="44" fontId="3" fillId="0" borderId="0" xfId="2" applyFont="1" applyBorder="1" applyAlignment="1">
      <alignment horizontal="center"/>
    </xf>
    <xf numFmtId="44" fontId="12" fillId="0" borderId="0" xfId="2" applyFont="1" applyBorder="1" applyAlignment="1">
      <alignment horizontal="center"/>
    </xf>
    <xf numFmtId="44" fontId="3" fillId="0" borderId="6" xfId="2" applyFont="1" applyFill="1" applyBorder="1" applyAlignment="1">
      <alignment horizontal="center"/>
    </xf>
    <xf numFmtId="44" fontId="3" fillId="0" borderId="0" xfId="2" applyFont="1"/>
    <xf numFmtId="44" fontId="3" fillId="3" borderId="6" xfId="2" applyFont="1" applyFill="1" applyBorder="1" applyAlignment="1">
      <alignment horizontal="center"/>
    </xf>
    <xf numFmtId="44" fontId="3" fillId="0" borderId="0" xfId="2" applyFont="1" applyAlignment="1">
      <alignment horizontal="center"/>
    </xf>
    <xf numFmtId="0" fontId="2" fillId="0" borderId="17" xfId="3" applyFont="1" applyBorder="1" applyAlignment="1">
      <alignment horizontal="center" wrapText="1"/>
    </xf>
    <xf numFmtId="44" fontId="3" fillId="0" borderId="7" xfId="8" applyFont="1" applyBorder="1"/>
    <xf numFmtId="168" fontId="0" fillId="0" borderId="0" xfId="8" applyNumberFormat="1" applyFont="1"/>
    <xf numFmtId="44" fontId="3" fillId="0" borderId="16" xfId="8" applyFont="1" applyBorder="1"/>
    <xf numFmtId="44" fontId="3" fillId="0" borderId="0" xfId="8" applyFont="1"/>
    <xf numFmtId="44" fontId="3" fillId="0" borderId="18" xfId="8" applyFont="1" applyBorder="1"/>
    <xf numFmtId="44" fontId="2" fillId="0" borderId="0" xfId="8" applyFont="1"/>
    <xf numFmtId="0" fontId="3" fillId="0" borderId="4" xfId="0" applyFont="1" applyBorder="1"/>
    <xf numFmtId="0" fontId="3" fillId="0" borderId="5" xfId="0" applyFont="1" applyBorder="1"/>
    <xf numFmtId="44" fontId="3" fillId="0" borderId="0" xfId="3" applyNumberFormat="1" applyFont="1"/>
    <xf numFmtId="44" fontId="3" fillId="0" borderId="0" xfId="2" applyFont="1" applyBorder="1"/>
    <xf numFmtId="2" fontId="2" fillId="0" borderId="0" xfId="3" applyNumberFormat="1" applyFont="1"/>
    <xf numFmtId="0" fontId="3" fillId="0" borderId="5" xfId="3" applyFont="1" applyBorder="1" applyAlignment="1">
      <alignment horizontal="center"/>
    </xf>
    <xf numFmtId="166" fontId="3" fillId="0" borderId="5" xfId="1" applyNumberFormat="1" applyFont="1" applyBorder="1" applyAlignment="1">
      <alignment horizontal="center"/>
    </xf>
    <xf numFmtId="0" fontId="3" fillId="0" borderId="5" xfId="3" applyFont="1" applyBorder="1"/>
    <xf numFmtId="0" fontId="3" fillId="0" borderId="9" xfId="3" applyFont="1" applyBorder="1" applyAlignment="1">
      <alignment horizontal="center"/>
    </xf>
    <xf numFmtId="0" fontId="3" fillId="0" borderId="4" xfId="3" applyFont="1" applyBorder="1"/>
    <xf numFmtId="44" fontId="3" fillId="0" borderId="0" xfId="2" applyFont="1" applyFill="1" applyBorder="1" applyAlignment="1">
      <alignment horizontal="center"/>
    </xf>
    <xf numFmtId="44" fontId="3" fillId="0" borderId="7" xfId="2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center"/>
    </xf>
    <xf numFmtId="43" fontId="3" fillId="0" borderId="4" xfId="2" applyNumberFormat="1" applyFont="1" applyFill="1" applyBorder="1" applyAlignment="1">
      <alignment horizontal="center"/>
    </xf>
    <xf numFmtId="44" fontId="2" fillId="0" borderId="0" xfId="2" applyFont="1" applyBorder="1" applyAlignment="1">
      <alignment horizontal="center"/>
    </xf>
    <xf numFmtId="44" fontId="2" fillId="0" borderId="10" xfId="2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2" xfId="3" applyFont="1" applyBorder="1" applyAlignment="1">
      <alignment horizontal="center" wrapText="1"/>
    </xf>
    <xf numFmtId="14" fontId="3" fillId="0" borderId="0" xfId="3" applyNumberFormat="1" applyFont="1" applyAlignment="1">
      <alignment horizontal="center"/>
    </xf>
    <xf numFmtId="0" fontId="3" fillId="0" borderId="0" xfId="3" applyFont="1" applyAlignment="1">
      <alignment horizontal="right"/>
    </xf>
    <xf numFmtId="167" fontId="3" fillId="0" borderId="0" xfId="3" applyNumberFormat="1" applyFont="1" applyAlignment="1">
      <alignment horizontal="center"/>
    </xf>
    <xf numFmtId="6" fontId="3" fillId="0" borderId="0" xfId="2" applyNumberFormat="1" applyFont="1"/>
    <xf numFmtId="0" fontId="3" fillId="0" borderId="0" xfId="3" applyFont="1" applyAlignment="1">
      <alignment horizontal="left"/>
    </xf>
    <xf numFmtId="44" fontId="2" fillId="0" borderId="0" xfId="2" applyFont="1" applyFill="1" applyBorder="1" applyAlignment="1">
      <alignment horizontal="center"/>
    </xf>
    <xf numFmtId="44" fontId="2" fillId="0" borderId="13" xfId="2" applyFont="1" applyFill="1" applyBorder="1" applyAlignment="1">
      <alignment horizontal="center"/>
    </xf>
    <xf numFmtId="0" fontId="2" fillId="0" borderId="0" xfId="0" applyFont="1"/>
    <xf numFmtId="0" fontId="2" fillId="0" borderId="0" xfId="3" applyFont="1" applyAlignment="1">
      <alignment horizontal="center"/>
    </xf>
    <xf numFmtId="14" fontId="3" fillId="0" borderId="0" xfId="3" applyNumberFormat="1" applyFont="1"/>
    <xf numFmtId="44" fontId="3" fillId="3" borderId="7" xfId="2" applyFont="1" applyFill="1" applyBorder="1" applyAlignment="1">
      <alignment horizontal="center"/>
    </xf>
    <xf numFmtId="0" fontId="3" fillId="3" borderId="4" xfId="3" applyFont="1" applyFill="1" applyBorder="1" applyAlignment="1">
      <alignment horizontal="center"/>
    </xf>
    <xf numFmtId="166" fontId="3" fillId="3" borderId="4" xfId="1" applyNumberFormat="1" applyFont="1" applyFill="1" applyBorder="1" applyAlignment="1">
      <alignment horizontal="center"/>
    </xf>
    <xf numFmtId="0" fontId="3" fillId="3" borderId="4" xfId="3" applyFont="1" applyFill="1" applyBorder="1" applyAlignment="1">
      <alignment horizontal="left"/>
    </xf>
    <xf numFmtId="165" fontId="2" fillId="0" borderId="4" xfId="1" applyNumberFormat="1" applyFont="1" applyFill="1" applyBorder="1" applyAlignment="1">
      <alignment horizontal="center"/>
    </xf>
    <xf numFmtId="44" fontId="16" fillId="0" borderId="6" xfId="2" applyFont="1" applyFill="1" applyBorder="1" applyAlignment="1">
      <alignment horizontal="center"/>
    </xf>
    <xf numFmtId="44" fontId="16" fillId="2" borderId="6" xfId="2" applyFont="1" applyFill="1" applyBorder="1" applyAlignment="1">
      <alignment horizontal="center"/>
    </xf>
    <xf numFmtId="0" fontId="17" fillId="0" borderId="4" xfId="3" applyFont="1" applyBorder="1" applyAlignment="1">
      <alignment horizontal="left"/>
    </xf>
    <xf numFmtId="44" fontId="18" fillId="0" borderId="6" xfId="2" applyFont="1" applyFill="1" applyBorder="1" applyAlignment="1">
      <alignment horizontal="center"/>
    </xf>
    <xf numFmtId="44" fontId="6" fillId="0" borderId="19" xfId="2" applyFont="1" applyBorder="1" applyAlignment="1">
      <alignment horizontal="center"/>
    </xf>
    <xf numFmtId="44" fontId="3" fillId="0" borderId="8" xfId="2" applyFont="1" applyFill="1" applyBorder="1" applyAlignment="1">
      <alignment horizontal="center"/>
    </xf>
    <xf numFmtId="44" fontId="3" fillId="0" borderId="0" xfId="2" applyFont="1" applyFill="1" applyAlignment="1">
      <alignment horizontal="center"/>
    </xf>
    <xf numFmtId="14" fontId="3" fillId="0" borderId="8" xfId="2" applyNumberFormat="1" applyFont="1" applyFill="1" applyBorder="1" applyAlignment="1">
      <alignment horizontal="center"/>
    </xf>
    <xf numFmtId="14" fontId="3" fillId="0" borderId="0" xfId="2" applyNumberFormat="1" applyFont="1" applyFill="1" applyBorder="1" applyAlignment="1">
      <alignment horizontal="center"/>
    </xf>
    <xf numFmtId="44" fontId="3" fillId="0" borderId="0" xfId="2" applyFont="1" applyFill="1"/>
    <xf numFmtId="44" fontId="2" fillId="0" borderId="19" xfId="2" applyFont="1" applyBorder="1" applyAlignment="1">
      <alignment horizontal="center"/>
    </xf>
    <xf numFmtId="0" fontId="3" fillId="3" borderId="0" xfId="3" applyFont="1" applyFill="1"/>
    <xf numFmtId="44" fontId="3" fillId="3" borderId="8" xfId="2" applyFont="1" applyFill="1" applyBorder="1" applyAlignment="1">
      <alignment horizontal="center"/>
    </xf>
    <xf numFmtId="3" fontId="3" fillId="0" borderId="4" xfId="0" applyNumberFormat="1" applyFont="1" applyBorder="1"/>
    <xf numFmtId="0" fontId="3" fillId="0" borderId="4" xfId="0" applyFont="1" applyBorder="1" applyAlignment="1">
      <alignment horizontal="center"/>
    </xf>
    <xf numFmtId="44" fontId="3" fillId="0" borderId="4" xfId="8" applyFont="1" applyFill="1" applyBorder="1"/>
    <xf numFmtId="44" fontId="3" fillId="0" borderId="7" xfId="8" applyFont="1" applyFill="1" applyBorder="1"/>
    <xf numFmtId="44" fontId="3" fillId="0" borderId="0" xfId="2" applyFont="1" applyFill="1" applyBorder="1" applyAlignment="1">
      <alignment horizontal="center"/>
    </xf>
    <xf numFmtId="44" fontId="3" fillId="0" borderId="0" xfId="2" applyFont="1" applyFill="1" applyAlignment="1">
      <alignment horizontal="center"/>
    </xf>
    <xf numFmtId="0" fontId="2" fillId="0" borderId="4" xfId="3" applyFont="1" applyFill="1" applyBorder="1" applyAlignment="1">
      <alignment horizontal="center"/>
    </xf>
    <xf numFmtId="0" fontId="3" fillId="0" borderId="4" xfId="3" applyFont="1" applyFill="1" applyBorder="1" applyAlignment="1">
      <alignment horizontal="center"/>
    </xf>
    <xf numFmtId="0" fontId="3" fillId="0" borderId="4" xfId="3" applyFont="1" applyFill="1" applyBorder="1" applyAlignment="1">
      <alignment horizontal="left"/>
    </xf>
    <xf numFmtId="0" fontId="10" fillId="0" borderId="4" xfId="3" applyFont="1" applyFill="1" applyBorder="1" applyAlignment="1">
      <alignment horizontal="left"/>
    </xf>
    <xf numFmtId="0" fontId="3" fillId="0" borderId="4" xfId="3" applyFont="1" applyFill="1" applyBorder="1"/>
    <xf numFmtId="0" fontId="10" fillId="3" borderId="4" xfId="3" applyFont="1" applyFill="1" applyBorder="1" applyAlignment="1">
      <alignment horizontal="left"/>
    </xf>
  </cellXfs>
  <cellStyles count="11">
    <cellStyle name="Comma" xfId="1" builtinId="3"/>
    <cellStyle name="Comma 2" xfId="5" xr:uid="{00000000-0005-0000-0000-000001000000}"/>
    <cellStyle name="Currency" xfId="2" builtinId="4"/>
    <cellStyle name="Currency 2" xfId="8" xr:uid="{00000000-0005-0000-0000-000003000000}"/>
    <cellStyle name="Currency 3" xfId="9" xr:uid="{00000000-0005-0000-0000-000004000000}"/>
    <cellStyle name="Currency 4" xfId="10" xr:uid="{00000000-0005-0000-0000-000005000000}"/>
    <cellStyle name="Normal" xfId="0" builtinId="0"/>
    <cellStyle name="Normal 2" xfId="6" xr:uid="{00000000-0005-0000-0000-000007000000}"/>
    <cellStyle name="Normal 3" xfId="7" xr:uid="{00000000-0005-0000-0000-000008000000}"/>
    <cellStyle name="Normal 4" xfId="4" xr:uid="{00000000-0005-0000-0000-000009000000}"/>
    <cellStyle name="Normal_ESTIMATE" xfId="3" xr:uid="{00000000-0005-0000-0000-00000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4BAB7-16BA-45A6-8CF6-BCC6A104DDB6}">
  <dimension ref="A1:Q85"/>
  <sheetViews>
    <sheetView tabSelected="1" zoomScaleNormal="100" workbookViewId="0">
      <selection activeCell="F8" sqref="F8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55" style="1" customWidth="1"/>
    <col min="5" max="5" width="13.83203125" style="1" customWidth="1"/>
    <col min="6" max="6" width="7.1640625" style="1" customWidth="1"/>
    <col min="7" max="7" width="17.5" style="10" customWidth="1"/>
    <col min="8" max="8" width="20.1640625" style="10" customWidth="1"/>
    <col min="9" max="9" width="4.83203125" style="10" customWidth="1"/>
    <col min="10" max="10" width="19.6640625" style="1" customWidth="1"/>
    <col min="11" max="11" width="12.83203125" style="1" customWidth="1"/>
    <col min="12" max="12" width="5.6640625" style="1" customWidth="1"/>
    <col min="13" max="13" width="6.33203125" style="1" customWidth="1"/>
    <col min="14" max="14" width="7.33203125" style="1" customWidth="1"/>
    <col min="15" max="15" width="8.1640625" style="1" customWidth="1"/>
    <col min="16" max="16" width="3.1640625" style="1" customWidth="1"/>
    <col min="17" max="17" width="18" style="1" customWidth="1"/>
    <col min="18" max="16384" width="9.33203125" style="1"/>
  </cols>
  <sheetData>
    <row r="1" spans="1:11" ht="13.5" thickBot="1" x14ac:dyDescent="0.25">
      <c r="A1" s="1" t="s">
        <v>0</v>
      </c>
      <c r="D1" s="37" t="s">
        <v>64</v>
      </c>
      <c r="E1" s="46" t="s">
        <v>78</v>
      </c>
      <c r="G1" s="32" t="s">
        <v>1</v>
      </c>
      <c r="H1" s="58" t="s">
        <v>68</v>
      </c>
      <c r="I1" s="65"/>
    </row>
    <row r="2" spans="1:11" ht="13.5" thickBot="1" x14ac:dyDescent="0.25">
      <c r="A2" s="1" t="s">
        <v>2</v>
      </c>
      <c r="D2" s="45"/>
      <c r="E2" s="36"/>
      <c r="G2"/>
      <c r="H2" s="59" t="s">
        <v>67</v>
      </c>
      <c r="I2" s="59"/>
    </row>
    <row r="3" spans="1:11" x14ac:dyDescent="0.2">
      <c r="A3" s="1" t="s">
        <v>3</v>
      </c>
      <c r="D3" s="38"/>
      <c r="G3" s="24"/>
      <c r="H3" s="42" t="s">
        <v>35</v>
      </c>
      <c r="I3" s="66"/>
    </row>
    <row r="4" spans="1:11" ht="13.5" thickBot="1" x14ac:dyDescent="0.25">
      <c r="A4" s="15" t="s">
        <v>4</v>
      </c>
      <c r="B4" s="15"/>
      <c r="C4" s="16"/>
      <c r="D4" s="22" t="s">
        <v>70</v>
      </c>
      <c r="E4" s="22"/>
      <c r="G4" s="23"/>
      <c r="H4" s="43">
        <f>SUM(H83)</f>
        <v>298100000</v>
      </c>
      <c r="I4" s="67"/>
    </row>
    <row r="5" spans="1:11" ht="12.75" customHeight="1" x14ac:dyDescent="0.2">
      <c r="D5" s="28"/>
      <c r="G5" s="19"/>
    </row>
    <row r="6" spans="1:11" ht="12.75" customHeight="1" x14ac:dyDescent="0.2">
      <c r="A6" t="s">
        <v>5</v>
      </c>
      <c r="C6" s="13"/>
      <c r="D6" s="61" t="s">
        <v>77</v>
      </c>
      <c r="E6" s="64">
        <v>43899</v>
      </c>
      <c r="F6" s="28"/>
      <c r="G6" s="75" t="s">
        <v>86</v>
      </c>
      <c r="H6" s="62">
        <v>44679</v>
      </c>
    </row>
    <row r="7" spans="1:11" ht="12.75" customHeight="1" x14ac:dyDescent="0.2">
      <c r="A7" t="s">
        <v>6</v>
      </c>
      <c r="C7" s="13"/>
      <c r="D7" s="38" t="s">
        <v>75</v>
      </c>
      <c r="E7" s="64">
        <v>43903</v>
      </c>
      <c r="G7" s="63" t="s">
        <v>76</v>
      </c>
      <c r="H7" s="62">
        <v>43934</v>
      </c>
      <c r="I7" s="62"/>
    </row>
    <row r="8" spans="1:11" ht="12.75" customHeight="1" x14ac:dyDescent="0.2">
      <c r="A8" t="s">
        <v>51</v>
      </c>
      <c r="C8" s="13"/>
      <c r="D8" s="38" t="s">
        <v>79</v>
      </c>
      <c r="E8" s="64">
        <v>43943</v>
      </c>
      <c r="G8" s="133"/>
      <c r="H8" s="133"/>
      <c r="I8" s="68"/>
    </row>
    <row r="9" spans="1:11" ht="12.75" customHeight="1" thickBot="1" x14ac:dyDescent="0.25">
      <c r="A9"/>
      <c r="C9" s="13"/>
      <c r="D9" s="38" t="s">
        <v>114</v>
      </c>
      <c r="E9" s="64">
        <v>45167</v>
      </c>
      <c r="F9" s="127" t="s">
        <v>115</v>
      </c>
      <c r="G9" s="128"/>
      <c r="H9" s="121"/>
      <c r="I9" s="68"/>
    </row>
    <row r="10" spans="1:11" ht="28.5" customHeight="1" thickTop="1" x14ac:dyDescent="0.2">
      <c r="A10" s="2" t="s">
        <v>7</v>
      </c>
      <c r="B10" s="3" t="s">
        <v>8</v>
      </c>
      <c r="C10" s="3" t="s">
        <v>9</v>
      </c>
      <c r="D10" s="4" t="s">
        <v>10</v>
      </c>
      <c r="E10" s="4"/>
      <c r="F10" s="4" t="s">
        <v>11</v>
      </c>
      <c r="G10" s="120" t="s">
        <v>12</v>
      </c>
      <c r="H10" s="31" t="s">
        <v>13</v>
      </c>
      <c r="I10" s="69"/>
    </row>
    <row r="11" spans="1:11" ht="12.75" customHeight="1" x14ac:dyDescent="0.2">
      <c r="A11" s="76"/>
      <c r="B11" s="83"/>
      <c r="C11" s="83"/>
      <c r="D11" s="83" t="s">
        <v>87</v>
      </c>
      <c r="E11" s="129">
        <v>1</v>
      </c>
      <c r="F11" s="130" t="s">
        <v>15</v>
      </c>
      <c r="G11" s="131">
        <f>(J79+J80)*0.05</f>
        <v>11098246.052323233</v>
      </c>
      <c r="H11" s="132">
        <f t="shared" ref="H11:H12" si="0">SUM(E11*G11)</f>
        <v>11098246.052323233</v>
      </c>
      <c r="I11" s="69"/>
    </row>
    <row r="12" spans="1:11" ht="12.75" customHeight="1" x14ac:dyDescent="0.2">
      <c r="A12" s="76"/>
      <c r="B12" s="83"/>
      <c r="C12" s="83"/>
      <c r="D12" s="83" t="s">
        <v>88</v>
      </c>
      <c r="E12" s="129">
        <v>1</v>
      </c>
      <c r="F12" s="130" t="s">
        <v>15</v>
      </c>
      <c r="G12" s="131">
        <v>300000</v>
      </c>
      <c r="H12" s="132">
        <f t="shared" si="0"/>
        <v>300000</v>
      </c>
      <c r="I12" s="69"/>
    </row>
    <row r="13" spans="1:11" ht="12.75" customHeight="1" x14ac:dyDescent="0.2">
      <c r="A13" s="5"/>
      <c r="B13" s="33"/>
      <c r="C13" s="6"/>
      <c r="D13" s="7" t="s">
        <v>20</v>
      </c>
      <c r="E13" s="55">
        <f>332513/43560</f>
        <v>7.633448117539027</v>
      </c>
      <c r="F13" s="6" t="s">
        <v>22</v>
      </c>
      <c r="G13" s="72">
        <v>60000</v>
      </c>
      <c r="H13" s="94">
        <f>E13*G13</f>
        <v>458006.8870523416</v>
      </c>
      <c r="I13" s="70"/>
      <c r="K13" s="38"/>
    </row>
    <row r="14" spans="1:11" x14ac:dyDescent="0.2">
      <c r="A14" s="5"/>
      <c r="B14" s="33"/>
      <c r="C14" s="6"/>
      <c r="D14" s="7" t="s">
        <v>54</v>
      </c>
      <c r="E14" s="55">
        <v>2500</v>
      </c>
      <c r="F14" s="6" t="s">
        <v>23</v>
      </c>
      <c r="G14" s="72">
        <v>16</v>
      </c>
      <c r="H14" s="94">
        <f t="shared" ref="H14:H74" si="1">E14*G14</f>
        <v>40000</v>
      </c>
      <c r="I14" s="70"/>
    </row>
    <row r="15" spans="1:11" x14ac:dyDescent="0.2">
      <c r="A15" s="5"/>
      <c r="B15" s="33"/>
      <c r="C15" s="6"/>
      <c r="D15" s="7" t="s">
        <v>55</v>
      </c>
      <c r="E15" s="55">
        <v>10000</v>
      </c>
      <c r="F15" s="6" t="s">
        <v>23</v>
      </c>
      <c r="G15" s="72">
        <v>13</v>
      </c>
      <c r="H15" s="94">
        <f t="shared" si="1"/>
        <v>130000</v>
      </c>
      <c r="I15" s="70"/>
    </row>
    <row r="16" spans="1:11" x14ac:dyDescent="0.2">
      <c r="A16" s="5"/>
      <c r="B16" s="33"/>
      <c r="C16" s="6"/>
      <c r="D16" s="7" t="s">
        <v>44</v>
      </c>
      <c r="E16" s="55">
        <f>296945.6/9</f>
        <v>32993.955555555556</v>
      </c>
      <c r="F16" s="6" t="s">
        <v>24</v>
      </c>
      <c r="G16" s="72">
        <v>8.5</v>
      </c>
      <c r="H16" s="94">
        <f t="shared" si="1"/>
        <v>280448.62222222221</v>
      </c>
      <c r="I16" s="70"/>
      <c r="K16" s="38"/>
    </row>
    <row r="17" spans="1:11" x14ac:dyDescent="0.2">
      <c r="A17" s="5"/>
      <c r="B17" s="33"/>
      <c r="C17" s="6"/>
      <c r="D17" s="7"/>
      <c r="E17" s="56"/>
      <c r="F17" s="6"/>
      <c r="G17" s="72"/>
      <c r="H17" s="94"/>
      <c r="I17" s="70"/>
    </row>
    <row r="18" spans="1:11" x14ac:dyDescent="0.2">
      <c r="A18" s="5"/>
      <c r="B18" s="33"/>
      <c r="C18" s="6"/>
      <c r="D18" s="39" t="s">
        <v>30</v>
      </c>
      <c r="E18" s="55"/>
      <c r="F18" s="6"/>
      <c r="G18" s="72"/>
      <c r="H18" s="12"/>
      <c r="I18" s="70"/>
    </row>
    <row r="19" spans="1:11" hidden="1" x14ac:dyDescent="0.2">
      <c r="A19" s="5"/>
      <c r="B19" s="33"/>
      <c r="C19" s="6"/>
      <c r="D19" s="7" t="s">
        <v>57</v>
      </c>
      <c r="E19" s="55">
        <v>0</v>
      </c>
      <c r="F19" s="6" t="s">
        <v>21</v>
      </c>
      <c r="G19" s="72">
        <v>0</v>
      </c>
      <c r="H19" s="12">
        <f t="shared" si="1"/>
        <v>0</v>
      </c>
      <c r="I19" s="70"/>
    </row>
    <row r="20" spans="1:11" x14ac:dyDescent="0.2">
      <c r="A20" s="5"/>
      <c r="B20" s="33"/>
      <c r="C20" s="6"/>
      <c r="D20" s="7" t="s">
        <v>56</v>
      </c>
      <c r="E20" s="55">
        <v>0.13800000000000001</v>
      </c>
      <c r="F20" s="6" t="s">
        <v>21</v>
      </c>
      <c r="G20" s="72">
        <v>1775000</v>
      </c>
      <c r="H20" s="12">
        <f t="shared" si="1"/>
        <v>244950.00000000003</v>
      </c>
      <c r="I20" s="70"/>
    </row>
    <row r="21" spans="1:11" hidden="1" x14ac:dyDescent="0.2">
      <c r="A21" s="5"/>
      <c r="B21" s="33"/>
      <c r="C21" s="6"/>
      <c r="D21" s="7" t="s">
        <v>59</v>
      </c>
      <c r="E21" s="55">
        <v>0</v>
      </c>
      <c r="F21" s="6" t="s">
        <v>21</v>
      </c>
      <c r="G21" s="72">
        <v>0</v>
      </c>
      <c r="H21" s="12">
        <f t="shared" si="1"/>
        <v>0</v>
      </c>
      <c r="I21" s="70"/>
      <c r="K21" s="38"/>
    </row>
    <row r="22" spans="1:11" hidden="1" x14ac:dyDescent="0.2">
      <c r="A22" s="5"/>
      <c r="B22" s="33"/>
      <c r="C22" s="6"/>
      <c r="D22" s="7" t="s">
        <v>50</v>
      </c>
      <c r="E22" s="55">
        <v>0</v>
      </c>
      <c r="F22" s="6" t="s">
        <v>21</v>
      </c>
      <c r="G22" s="72">
        <v>0</v>
      </c>
      <c r="H22" s="12">
        <f t="shared" si="1"/>
        <v>0</v>
      </c>
      <c r="I22" s="70"/>
      <c r="K22" s="47"/>
    </row>
    <row r="23" spans="1:11" x14ac:dyDescent="0.2">
      <c r="A23" s="5"/>
      <c r="B23" s="33"/>
      <c r="C23" s="6"/>
      <c r="D23" s="7" t="s">
        <v>52</v>
      </c>
      <c r="E23" s="55">
        <v>0.23</v>
      </c>
      <c r="F23" s="6" t="s">
        <v>21</v>
      </c>
      <c r="G23" s="72">
        <v>900000</v>
      </c>
      <c r="H23" s="12">
        <f t="shared" si="1"/>
        <v>207000</v>
      </c>
      <c r="I23" s="70"/>
    </row>
    <row r="24" spans="1:11" hidden="1" x14ac:dyDescent="0.2">
      <c r="A24" s="5"/>
      <c r="B24" s="33"/>
      <c r="C24" s="6"/>
      <c r="D24" s="7" t="s">
        <v>48</v>
      </c>
      <c r="E24" s="55">
        <v>0</v>
      </c>
      <c r="F24" s="6" t="s">
        <v>21</v>
      </c>
      <c r="G24" s="72">
        <v>0</v>
      </c>
      <c r="H24" s="12">
        <f t="shared" si="1"/>
        <v>0</v>
      </c>
      <c r="I24" s="70"/>
      <c r="K24" s="38"/>
    </row>
    <row r="25" spans="1:11" hidden="1" x14ac:dyDescent="0.2">
      <c r="A25" s="5"/>
      <c r="B25" s="33"/>
      <c r="C25" s="6"/>
      <c r="D25" s="7" t="s">
        <v>53</v>
      </c>
      <c r="E25" s="55">
        <v>0</v>
      </c>
      <c r="F25" s="6" t="s">
        <v>21</v>
      </c>
      <c r="G25" s="72">
        <v>0</v>
      </c>
      <c r="H25" s="12">
        <f t="shared" si="1"/>
        <v>0</v>
      </c>
      <c r="I25" s="70"/>
    </row>
    <row r="26" spans="1:11" x14ac:dyDescent="0.2">
      <c r="A26" s="5"/>
      <c r="B26" s="33"/>
      <c r="C26" s="6"/>
      <c r="D26" s="7" t="s">
        <v>45</v>
      </c>
      <c r="E26" s="55">
        <v>0.28599999999999998</v>
      </c>
      <c r="F26" s="6" t="s">
        <v>21</v>
      </c>
      <c r="G26" s="72">
        <v>400000</v>
      </c>
      <c r="H26" s="12">
        <f t="shared" si="1"/>
        <v>114399.99999999999</v>
      </c>
      <c r="I26" s="70"/>
    </row>
    <row r="27" spans="1:11" hidden="1" x14ac:dyDescent="0.2">
      <c r="A27" s="5"/>
      <c r="B27" s="33"/>
      <c r="C27" s="6"/>
      <c r="D27" s="7" t="s">
        <v>58</v>
      </c>
      <c r="E27" s="55"/>
      <c r="F27" s="6" t="s">
        <v>21</v>
      </c>
      <c r="G27" s="72">
        <v>0</v>
      </c>
      <c r="H27" s="12">
        <f t="shared" si="1"/>
        <v>0</v>
      </c>
      <c r="I27" s="70"/>
    </row>
    <row r="28" spans="1:11" x14ac:dyDescent="0.2">
      <c r="A28" s="5"/>
      <c r="B28" s="33"/>
      <c r="C28" s="6"/>
      <c r="D28" s="7"/>
      <c r="E28" s="57"/>
      <c r="F28" s="6"/>
      <c r="G28" s="72"/>
      <c r="H28" s="12"/>
      <c r="I28" s="70"/>
    </row>
    <row r="29" spans="1:11" x14ac:dyDescent="0.2">
      <c r="A29" s="5"/>
      <c r="B29" s="33"/>
      <c r="C29" s="6"/>
      <c r="D29" s="7" t="s">
        <v>25</v>
      </c>
      <c r="E29" s="56">
        <f>ROUND(E32*1.1, -2)</f>
        <v>12400</v>
      </c>
      <c r="F29" s="6" t="s">
        <v>24</v>
      </c>
      <c r="G29" s="72">
        <v>3</v>
      </c>
      <c r="H29" s="12">
        <f t="shared" si="1"/>
        <v>37200</v>
      </c>
      <c r="I29" s="70"/>
    </row>
    <row r="30" spans="1:11" x14ac:dyDescent="0.2">
      <c r="A30" s="5"/>
      <c r="B30" s="33"/>
      <c r="C30" s="6"/>
      <c r="D30" s="7"/>
      <c r="E30" s="56"/>
      <c r="F30" s="6"/>
      <c r="G30" s="72"/>
      <c r="H30" s="12"/>
      <c r="I30" s="70"/>
    </row>
    <row r="31" spans="1:11" x14ac:dyDescent="0.2">
      <c r="A31" s="5"/>
      <c r="B31" s="33"/>
      <c r="C31" s="6"/>
      <c r="D31" s="39" t="s">
        <v>39</v>
      </c>
      <c r="E31" s="56"/>
      <c r="F31" s="6"/>
      <c r="G31" s="72"/>
      <c r="H31" s="12"/>
      <c r="I31" s="70"/>
    </row>
    <row r="32" spans="1:11" x14ac:dyDescent="0.2">
      <c r="A32" s="5"/>
      <c r="B32" s="33"/>
      <c r="C32" s="6"/>
      <c r="D32" s="7" t="s">
        <v>46</v>
      </c>
      <c r="E32" s="56">
        <f>101472/9</f>
        <v>11274.666666666666</v>
      </c>
      <c r="F32" s="6" t="s">
        <v>24</v>
      </c>
      <c r="G32" s="72">
        <v>75</v>
      </c>
      <c r="H32" s="12">
        <f t="shared" si="1"/>
        <v>845600</v>
      </c>
      <c r="I32" s="70"/>
      <c r="K32" s="38"/>
    </row>
    <row r="33" spans="1:17" x14ac:dyDescent="0.2">
      <c r="A33" s="5"/>
      <c r="B33" s="33"/>
      <c r="C33" s="6"/>
      <c r="D33" s="7" t="s">
        <v>47</v>
      </c>
      <c r="E33" s="56">
        <f>107220/9</f>
        <v>11913.333333333334</v>
      </c>
      <c r="F33" s="6" t="s">
        <v>24</v>
      </c>
      <c r="G33" s="72">
        <v>20</v>
      </c>
      <c r="H33" s="12">
        <f t="shared" si="1"/>
        <v>238266.66666666669</v>
      </c>
      <c r="I33" s="70"/>
      <c r="K33" s="38"/>
    </row>
    <row r="34" spans="1:17" x14ac:dyDescent="0.2">
      <c r="A34" s="5"/>
      <c r="B34" s="33"/>
      <c r="C34" s="6"/>
      <c r="D34" s="7"/>
      <c r="E34" s="56"/>
      <c r="F34" s="6"/>
      <c r="G34" s="72"/>
      <c r="H34" s="12"/>
      <c r="I34" s="70"/>
      <c r="K34" s="47"/>
    </row>
    <row r="35" spans="1:17" x14ac:dyDescent="0.2">
      <c r="A35" s="49"/>
      <c r="B35" s="44"/>
      <c r="C35" s="6"/>
      <c r="D35" s="7" t="s">
        <v>61</v>
      </c>
      <c r="E35" s="56">
        <v>5694</v>
      </c>
      <c r="F35" s="6" t="s">
        <v>27</v>
      </c>
      <c r="G35" s="72">
        <v>35</v>
      </c>
      <c r="H35" s="12">
        <f t="shared" si="1"/>
        <v>199290</v>
      </c>
      <c r="I35" s="70"/>
      <c r="K35" s="38"/>
    </row>
    <row r="36" spans="1:17" x14ac:dyDescent="0.2">
      <c r="A36" s="49"/>
      <c r="B36" s="44"/>
      <c r="C36" s="6"/>
      <c r="D36" s="7"/>
      <c r="E36" s="56"/>
      <c r="F36" s="6"/>
      <c r="G36" s="72"/>
      <c r="H36" s="12"/>
      <c r="I36" s="70"/>
      <c r="K36" s="47"/>
    </row>
    <row r="37" spans="1:17" x14ac:dyDescent="0.2">
      <c r="A37" s="49"/>
      <c r="B37" s="44"/>
      <c r="C37" s="6"/>
      <c r="D37" s="7" t="s">
        <v>73</v>
      </c>
      <c r="E37" s="56">
        <f>12251/9</f>
        <v>1361.2222222222222</v>
      </c>
      <c r="F37" s="6" t="s">
        <v>24</v>
      </c>
      <c r="G37" s="72">
        <v>60</v>
      </c>
      <c r="H37" s="12">
        <f t="shared" si="1"/>
        <v>81673.333333333328</v>
      </c>
      <c r="I37" s="70"/>
      <c r="K37" s="38"/>
    </row>
    <row r="38" spans="1:17" x14ac:dyDescent="0.2">
      <c r="A38" s="49"/>
      <c r="B38" s="44"/>
      <c r="C38" s="6"/>
      <c r="D38" s="7"/>
      <c r="E38" s="56"/>
      <c r="F38" s="6"/>
      <c r="G38" s="72"/>
      <c r="H38" s="12"/>
      <c r="I38" s="70"/>
      <c r="K38" s="47"/>
    </row>
    <row r="39" spans="1:17" x14ac:dyDescent="0.2">
      <c r="A39" s="5"/>
      <c r="B39" s="33"/>
      <c r="C39" s="6"/>
      <c r="D39" s="39" t="s">
        <v>41</v>
      </c>
      <c r="E39" s="56"/>
      <c r="F39" s="6"/>
      <c r="G39" s="72"/>
      <c r="H39" s="12"/>
      <c r="I39" s="70"/>
      <c r="K39" s="47"/>
    </row>
    <row r="40" spans="1:17" x14ac:dyDescent="0.2">
      <c r="A40" s="5"/>
      <c r="B40" s="44"/>
      <c r="C40" s="6"/>
      <c r="D40" s="7" t="s">
        <v>49</v>
      </c>
      <c r="E40" s="56">
        <v>5700</v>
      </c>
      <c r="F40" s="6" t="s">
        <v>27</v>
      </c>
      <c r="G40" s="72">
        <v>1.5</v>
      </c>
      <c r="H40" s="12">
        <f t="shared" si="1"/>
        <v>8550</v>
      </c>
      <c r="I40" s="70"/>
    </row>
    <row r="41" spans="1:17" x14ac:dyDescent="0.2">
      <c r="A41" s="5"/>
      <c r="B41" s="44"/>
      <c r="C41" s="6"/>
      <c r="D41" s="7" t="s">
        <v>42</v>
      </c>
      <c r="E41" s="56">
        <v>4500</v>
      </c>
      <c r="F41" s="6" t="s">
        <v>27</v>
      </c>
      <c r="G41" s="72">
        <v>25</v>
      </c>
      <c r="H41" s="12">
        <f t="shared" si="1"/>
        <v>112500</v>
      </c>
      <c r="I41" s="70"/>
      <c r="K41" s="47"/>
    </row>
    <row r="42" spans="1:17" x14ac:dyDescent="0.2">
      <c r="A42" s="5"/>
      <c r="B42" s="33"/>
      <c r="C42" s="6"/>
      <c r="D42" s="7" t="s">
        <v>43</v>
      </c>
      <c r="E42" s="56">
        <v>12</v>
      </c>
      <c r="F42" s="6" t="s">
        <v>34</v>
      </c>
      <c r="G42" s="72">
        <v>2600</v>
      </c>
      <c r="H42" s="12">
        <f t="shared" si="1"/>
        <v>31200</v>
      </c>
      <c r="I42" s="70"/>
    </row>
    <row r="43" spans="1:17" x14ac:dyDescent="0.2">
      <c r="A43" s="5"/>
      <c r="B43" s="33"/>
      <c r="C43" s="6"/>
      <c r="D43" s="7" t="s">
        <v>62</v>
      </c>
      <c r="E43" s="56">
        <v>12</v>
      </c>
      <c r="F43" s="6" t="s">
        <v>34</v>
      </c>
      <c r="G43" s="72">
        <v>3600</v>
      </c>
      <c r="H43" s="12">
        <f t="shared" si="1"/>
        <v>43200</v>
      </c>
      <c r="I43" s="70"/>
    </row>
    <row r="44" spans="1:17" x14ac:dyDescent="0.2">
      <c r="A44" s="5"/>
      <c r="B44" s="33"/>
      <c r="C44" s="6"/>
      <c r="D44" s="7"/>
      <c r="E44" s="51"/>
      <c r="F44" s="6"/>
      <c r="G44" s="72"/>
      <c r="H44" s="12"/>
      <c r="I44" s="71"/>
      <c r="K44" s="47"/>
    </row>
    <row r="45" spans="1:17" x14ac:dyDescent="0.2">
      <c r="A45" s="5"/>
      <c r="B45" s="33"/>
      <c r="C45" s="6"/>
      <c r="D45" s="7" t="s">
        <v>26</v>
      </c>
      <c r="E45" s="56">
        <f>659703.6/43560</f>
        <v>15.144710743801653</v>
      </c>
      <c r="F45" s="6" t="s">
        <v>22</v>
      </c>
      <c r="G45" s="72">
        <v>50000</v>
      </c>
      <c r="H45" s="12">
        <f t="shared" si="1"/>
        <v>757235.5371900826</v>
      </c>
      <c r="I45" s="70"/>
      <c r="K45" s="38"/>
    </row>
    <row r="46" spans="1:17" x14ac:dyDescent="0.2">
      <c r="A46" s="5"/>
      <c r="B46" s="33"/>
      <c r="C46" s="6"/>
      <c r="D46" s="7"/>
      <c r="E46" s="53"/>
      <c r="F46" s="6"/>
      <c r="G46" s="72"/>
      <c r="H46" s="12"/>
      <c r="I46" s="70"/>
    </row>
    <row r="47" spans="1:17" x14ac:dyDescent="0.2">
      <c r="A47" s="5"/>
      <c r="B47" s="33"/>
      <c r="C47" s="6"/>
      <c r="D47" s="7" t="s">
        <v>28</v>
      </c>
      <c r="E47" s="51">
        <v>1</v>
      </c>
      <c r="F47" s="6" t="s">
        <v>15</v>
      </c>
      <c r="G47" s="72">
        <v>550000</v>
      </c>
      <c r="H47" s="12">
        <f t="shared" si="1"/>
        <v>550000</v>
      </c>
      <c r="I47" s="70"/>
    </row>
    <row r="48" spans="1:17" x14ac:dyDescent="0.2">
      <c r="A48" s="5"/>
      <c r="B48" s="33"/>
      <c r="C48" s="6"/>
      <c r="D48" s="7"/>
      <c r="E48" s="53"/>
      <c r="F48" s="6"/>
      <c r="G48" s="72"/>
      <c r="H48" s="12"/>
      <c r="I48" s="70"/>
      <c r="P48" s="29"/>
      <c r="Q48" s="40"/>
    </row>
    <row r="49" spans="1:17" x14ac:dyDescent="0.2">
      <c r="A49" s="5"/>
      <c r="B49" s="33"/>
      <c r="C49" s="6"/>
      <c r="D49" s="7" t="s">
        <v>69</v>
      </c>
      <c r="E49" s="56">
        <v>2</v>
      </c>
      <c r="F49" s="6" t="s">
        <v>34</v>
      </c>
      <c r="G49" s="72">
        <v>18200</v>
      </c>
      <c r="H49" s="12">
        <f t="shared" si="1"/>
        <v>36400</v>
      </c>
      <c r="I49" s="70"/>
      <c r="P49" s="29"/>
      <c r="Q49" s="40"/>
    </row>
    <row r="50" spans="1:17" x14ac:dyDescent="0.2">
      <c r="A50" s="5"/>
      <c r="B50" s="33"/>
      <c r="C50" s="6"/>
      <c r="D50" s="7" t="s">
        <v>66</v>
      </c>
      <c r="E50" s="56">
        <v>2</v>
      </c>
      <c r="F50" s="6" t="s">
        <v>34</v>
      </c>
      <c r="G50" s="72">
        <v>200000</v>
      </c>
      <c r="H50" s="12">
        <f t="shared" si="1"/>
        <v>400000</v>
      </c>
      <c r="I50" s="70"/>
      <c r="K50" s="47"/>
      <c r="P50" s="29"/>
      <c r="Q50" s="40"/>
    </row>
    <row r="51" spans="1:17" x14ac:dyDescent="0.2">
      <c r="A51" s="5"/>
      <c r="B51" s="33"/>
      <c r="C51" s="6"/>
      <c r="D51" s="7"/>
      <c r="E51" s="51"/>
      <c r="F51" s="6"/>
      <c r="G51" s="72"/>
      <c r="H51" s="12"/>
      <c r="I51" s="70"/>
      <c r="K51" s="47"/>
      <c r="P51" s="29"/>
      <c r="Q51" s="40"/>
    </row>
    <row r="52" spans="1:17" x14ac:dyDescent="0.2">
      <c r="A52" s="5"/>
      <c r="B52" s="33"/>
      <c r="C52" s="6"/>
      <c r="D52" s="39" t="s">
        <v>63</v>
      </c>
      <c r="E52" s="51"/>
      <c r="F52" s="6"/>
      <c r="G52" s="72"/>
      <c r="H52" s="12"/>
      <c r="I52" s="70"/>
      <c r="K52" s="47"/>
      <c r="P52" s="29"/>
      <c r="Q52" s="40"/>
    </row>
    <row r="53" spans="1:17" x14ac:dyDescent="0.2">
      <c r="A53" s="5"/>
      <c r="B53" s="33"/>
      <c r="C53" s="6"/>
      <c r="D53" s="7" t="s">
        <v>72</v>
      </c>
      <c r="E53" s="51">
        <v>1</v>
      </c>
      <c r="F53" s="6" t="s">
        <v>34</v>
      </c>
      <c r="G53" s="72">
        <v>400000</v>
      </c>
      <c r="H53" s="12">
        <f t="shared" si="1"/>
        <v>400000</v>
      </c>
      <c r="I53" s="70"/>
      <c r="K53" s="47"/>
      <c r="P53" s="29"/>
      <c r="Q53" s="40"/>
    </row>
    <row r="54" spans="1:17" x14ac:dyDescent="0.2">
      <c r="A54" s="49"/>
      <c r="B54" s="44"/>
      <c r="C54" s="6"/>
      <c r="D54" s="7" t="s">
        <v>65</v>
      </c>
      <c r="E54" s="55">
        <v>3</v>
      </c>
      <c r="F54" s="6" t="s">
        <v>34</v>
      </c>
      <c r="G54" s="72">
        <v>8500</v>
      </c>
      <c r="H54" s="12">
        <f t="shared" si="1"/>
        <v>25500</v>
      </c>
      <c r="I54" s="70"/>
      <c r="K54" s="38"/>
      <c r="P54" s="30"/>
      <c r="Q54" s="40"/>
    </row>
    <row r="55" spans="1:17" x14ac:dyDescent="0.2">
      <c r="A55" s="5"/>
      <c r="B55" s="33"/>
      <c r="C55" s="6"/>
      <c r="D55" s="7"/>
      <c r="E55" s="53"/>
      <c r="F55" s="6"/>
      <c r="G55" s="72"/>
      <c r="H55" s="12"/>
      <c r="I55" s="70"/>
      <c r="P55" s="29"/>
      <c r="Q55" s="40"/>
    </row>
    <row r="56" spans="1:17" x14ac:dyDescent="0.2">
      <c r="A56" s="5"/>
      <c r="B56" s="33"/>
      <c r="C56" s="6"/>
      <c r="D56" s="39" t="s">
        <v>29</v>
      </c>
      <c r="E56" s="52"/>
      <c r="F56" s="6"/>
      <c r="G56" s="72"/>
      <c r="H56" s="12"/>
      <c r="I56" s="70"/>
      <c r="K56" s="47"/>
      <c r="P56" s="29"/>
      <c r="Q56" s="40"/>
    </row>
    <row r="57" spans="1:17" hidden="1" x14ac:dyDescent="0.2">
      <c r="A57" s="5"/>
      <c r="B57" s="33"/>
      <c r="C57" s="6"/>
      <c r="D57" s="7" t="s">
        <v>57</v>
      </c>
      <c r="E57" s="52">
        <f t="shared" ref="E57:E63" si="2">E19</f>
        <v>0</v>
      </c>
      <c r="F57" s="6" t="s">
        <v>21</v>
      </c>
      <c r="G57" s="72">
        <v>0</v>
      </c>
      <c r="H57" s="12">
        <f t="shared" si="1"/>
        <v>0</v>
      </c>
      <c r="I57" s="70"/>
      <c r="P57" s="30"/>
      <c r="Q57" s="30"/>
    </row>
    <row r="58" spans="1:17" x14ac:dyDescent="0.2">
      <c r="A58" s="5"/>
      <c r="B58" s="33"/>
      <c r="C58" s="6"/>
      <c r="D58" s="7" t="s">
        <v>56</v>
      </c>
      <c r="E58" s="52">
        <f t="shared" si="2"/>
        <v>0.13800000000000001</v>
      </c>
      <c r="F58" s="6" t="s">
        <v>21</v>
      </c>
      <c r="G58" s="72">
        <v>75000</v>
      </c>
      <c r="H58" s="12">
        <f t="shared" si="1"/>
        <v>10350</v>
      </c>
      <c r="I58" s="70"/>
      <c r="P58" s="30"/>
      <c r="Q58" s="30"/>
    </row>
    <row r="59" spans="1:17" hidden="1" x14ac:dyDescent="0.2">
      <c r="A59" s="5"/>
      <c r="B59" s="33"/>
      <c r="C59" s="6"/>
      <c r="D59" s="7" t="s">
        <v>59</v>
      </c>
      <c r="E59" s="52">
        <f t="shared" si="2"/>
        <v>0</v>
      </c>
      <c r="F59" s="6" t="s">
        <v>21</v>
      </c>
      <c r="G59" s="72">
        <v>0</v>
      </c>
      <c r="H59" s="12">
        <f t="shared" si="1"/>
        <v>0</v>
      </c>
      <c r="I59" s="70"/>
      <c r="K59" s="38"/>
      <c r="P59" s="30"/>
      <c r="Q59" s="30"/>
    </row>
    <row r="60" spans="1:17" hidden="1" x14ac:dyDescent="0.2">
      <c r="A60" s="5"/>
      <c r="B60" s="33"/>
      <c r="C60" s="6"/>
      <c r="D60" s="7" t="s">
        <v>50</v>
      </c>
      <c r="E60" s="52">
        <f t="shared" si="2"/>
        <v>0</v>
      </c>
      <c r="F60" s="6" t="s">
        <v>21</v>
      </c>
      <c r="G60" s="72">
        <v>0</v>
      </c>
      <c r="H60" s="12">
        <f t="shared" si="1"/>
        <v>0</v>
      </c>
      <c r="I60" s="70"/>
      <c r="P60" s="30"/>
      <c r="Q60" s="30"/>
    </row>
    <row r="61" spans="1:17" x14ac:dyDescent="0.2">
      <c r="A61" s="5"/>
      <c r="B61" s="33"/>
      <c r="C61" s="6"/>
      <c r="D61" s="7" t="s">
        <v>52</v>
      </c>
      <c r="E61" s="52">
        <f t="shared" si="2"/>
        <v>0.23</v>
      </c>
      <c r="F61" s="6" t="s">
        <v>21</v>
      </c>
      <c r="G61" s="72">
        <v>35000</v>
      </c>
      <c r="H61" s="12">
        <f t="shared" si="1"/>
        <v>8050</v>
      </c>
      <c r="I61" s="70"/>
      <c r="P61" s="30"/>
      <c r="Q61" s="30"/>
    </row>
    <row r="62" spans="1:17" hidden="1" x14ac:dyDescent="0.2">
      <c r="A62" s="5"/>
      <c r="B62" s="33"/>
      <c r="C62" s="6"/>
      <c r="D62" s="7" t="s">
        <v>48</v>
      </c>
      <c r="E62" s="52">
        <f t="shared" si="2"/>
        <v>0</v>
      </c>
      <c r="F62" s="6" t="s">
        <v>21</v>
      </c>
      <c r="G62" s="11">
        <v>0</v>
      </c>
      <c r="H62" s="12">
        <f t="shared" si="1"/>
        <v>0</v>
      </c>
      <c r="I62" s="70"/>
      <c r="P62" s="30"/>
      <c r="Q62" s="30"/>
    </row>
    <row r="63" spans="1:17" hidden="1" x14ac:dyDescent="0.2">
      <c r="A63" s="5"/>
      <c r="B63" s="33"/>
      <c r="C63" s="6"/>
      <c r="D63" s="7" t="s">
        <v>53</v>
      </c>
      <c r="E63" s="52">
        <f t="shared" si="2"/>
        <v>0</v>
      </c>
      <c r="F63" s="6" t="s">
        <v>21</v>
      </c>
      <c r="G63" s="11">
        <v>0</v>
      </c>
      <c r="H63" s="12">
        <f t="shared" si="1"/>
        <v>0</v>
      </c>
      <c r="I63" s="70"/>
      <c r="P63" s="30"/>
      <c r="Q63" s="30"/>
    </row>
    <row r="64" spans="1:17" hidden="1" x14ac:dyDescent="0.2">
      <c r="A64" s="5"/>
      <c r="B64" s="33"/>
      <c r="C64" s="6"/>
      <c r="D64" s="7" t="s">
        <v>45</v>
      </c>
      <c r="E64" s="52">
        <v>0</v>
      </c>
      <c r="F64" s="6" t="s">
        <v>21</v>
      </c>
      <c r="G64" s="11">
        <v>0</v>
      </c>
      <c r="H64" s="12">
        <f t="shared" si="1"/>
        <v>0</v>
      </c>
      <c r="I64" s="70"/>
      <c r="J64" s="30"/>
      <c r="P64" s="30"/>
      <c r="Q64" s="30"/>
    </row>
    <row r="65" spans="1:17" hidden="1" x14ac:dyDescent="0.2">
      <c r="A65" s="5"/>
      <c r="B65" s="33"/>
      <c r="C65" s="6"/>
      <c r="D65" s="7" t="s">
        <v>58</v>
      </c>
      <c r="E65" s="52">
        <f>E27</f>
        <v>0</v>
      </c>
      <c r="F65" s="6" t="s">
        <v>21</v>
      </c>
      <c r="G65" s="11">
        <v>0</v>
      </c>
      <c r="H65" s="12">
        <f t="shared" si="1"/>
        <v>0</v>
      </c>
      <c r="I65" s="70"/>
      <c r="J65" s="30">
        <f>SUM(H12:H65)</f>
        <v>5559821.0464646462</v>
      </c>
      <c r="P65" s="30"/>
      <c r="Q65" s="30"/>
    </row>
    <row r="66" spans="1:17" x14ac:dyDescent="0.2">
      <c r="A66" s="5"/>
      <c r="B66" s="33"/>
      <c r="C66" s="6"/>
      <c r="D66" s="7"/>
      <c r="E66" s="52"/>
      <c r="F66" s="6"/>
      <c r="G66" s="11"/>
      <c r="H66" s="12"/>
      <c r="I66" s="70"/>
      <c r="P66" s="30"/>
      <c r="Q66" s="30"/>
    </row>
    <row r="67" spans="1:17" x14ac:dyDescent="0.2">
      <c r="A67" s="49"/>
      <c r="B67" s="44"/>
      <c r="C67" s="6"/>
      <c r="D67" s="39" t="s">
        <v>60</v>
      </c>
      <c r="E67" s="52"/>
      <c r="F67" s="6"/>
      <c r="G67" s="11"/>
      <c r="H67" s="12"/>
      <c r="I67" s="70"/>
      <c r="K67" s="47"/>
      <c r="P67" s="30"/>
      <c r="Q67" s="30"/>
    </row>
    <row r="68" spans="1:17" x14ac:dyDescent="0.2">
      <c r="A68" s="49"/>
      <c r="B68" s="44"/>
      <c r="C68" s="6"/>
      <c r="D68" s="7" t="s">
        <v>80</v>
      </c>
      <c r="E68" s="52">
        <v>1</v>
      </c>
      <c r="F68" s="6" t="s">
        <v>34</v>
      </c>
      <c r="G68" s="116">
        <v>2178000</v>
      </c>
      <c r="H68" s="12">
        <f t="shared" si="1"/>
        <v>2178000</v>
      </c>
      <c r="I68" s="70"/>
      <c r="K68" s="38"/>
      <c r="L68" s="38"/>
      <c r="P68" s="30"/>
      <c r="Q68" s="40"/>
    </row>
    <row r="69" spans="1:17" x14ac:dyDescent="0.2">
      <c r="A69" s="49"/>
      <c r="B69" s="44"/>
      <c r="C69" s="6"/>
      <c r="D69" s="7" t="s">
        <v>84</v>
      </c>
      <c r="E69" s="52">
        <v>1</v>
      </c>
      <c r="F69" s="6" t="s">
        <v>34</v>
      </c>
      <c r="G69" s="117">
        <v>21186000</v>
      </c>
      <c r="H69" s="12">
        <f t="shared" si="1"/>
        <v>21186000</v>
      </c>
      <c r="I69" s="70"/>
      <c r="K69" s="38"/>
      <c r="L69" s="38"/>
      <c r="P69" s="30"/>
      <c r="Q69" s="40"/>
    </row>
    <row r="70" spans="1:17" x14ac:dyDescent="0.2">
      <c r="A70" s="49"/>
      <c r="B70" s="44"/>
      <c r="C70" s="6"/>
      <c r="D70" s="118" t="s">
        <v>112</v>
      </c>
      <c r="E70" s="52"/>
      <c r="F70" s="6"/>
      <c r="G70" s="72"/>
      <c r="H70" s="12"/>
      <c r="I70" s="70"/>
      <c r="K70" s="38"/>
      <c r="L70" s="38"/>
      <c r="P70" s="30"/>
      <c r="Q70" s="40"/>
    </row>
    <row r="71" spans="1:17" x14ac:dyDescent="0.2">
      <c r="A71" s="49"/>
      <c r="B71" s="44"/>
      <c r="C71" s="6"/>
      <c r="D71" s="7"/>
      <c r="E71" s="52"/>
      <c r="F71" s="6"/>
      <c r="G71" s="11"/>
      <c r="H71" s="12"/>
      <c r="I71" s="70"/>
      <c r="K71" s="38"/>
      <c r="L71" s="38"/>
      <c r="P71" s="30"/>
      <c r="Q71" s="40"/>
    </row>
    <row r="72" spans="1:17" x14ac:dyDescent="0.2">
      <c r="A72" s="49"/>
      <c r="B72" s="44"/>
      <c r="C72" s="6"/>
      <c r="D72" s="7" t="s">
        <v>83</v>
      </c>
      <c r="E72" s="55">
        <v>151470</v>
      </c>
      <c r="F72" s="6" t="s">
        <v>71</v>
      </c>
      <c r="G72" s="119">
        <v>640</v>
      </c>
      <c r="H72" s="12">
        <f t="shared" si="1"/>
        <v>96940800</v>
      </c>
      <c r="I72" s="70"/>
      <c r="K72" s="38" t="s">
        <v>74</v>
      </c>
      <c r="L72" s="38"/>
      <c r="P72" s="30"/>
      <c r="Q72" s="40"/>
    </row>
    <row r="73" spans="1:17" x14ac:dyDescent="0.2">
      <c r="A73" s="49"/>
      <c r="B73" s="44"/>
      <c r="C73" s="6"/>
      <c r="D73" s="7" t="s">
        <v>82</v>
      </c>
      <c r="E73" s="52">
        <v>380000</v>
      </c>
      <c r="F73" s="6" t="s">
        <v>71</v>
      </c>
      <c r="G73" s="116">
        <v>170</v>
      </c>
      <c r="H73" s="12">
        <f t="shared" si="1"/>
        <v>64600000</v>
      </c>
      <c r="I73" s="70"/>
      <c r="K73" s="38" t="s">
        <v>74</v>
      </c>
      <c r="L73" s="38"/>
      <c r="P73" s="30"/>
      <c r="Q73" s="40"/>
    </row>
    <row r="74" spans="1:17" x14ac:dyDescent="0.2">
      <c r="A74" s="49"/>
      <c r="B74" s="44"/>
      <c r="C74" s="6"/>
      <c r="D74" s="7" t="s">
        <v>81</v>
      </c>
      <c r="E74" s="55">
        <v>225000</v>
      </c>
      <c r="F74" s="6" t="s">
        <v>71</v>
      </c>
      <c r="G74" s="116">
        <v>135</v>
      </c>
      <c r="H74" s="12">
        <f t="shared" si="1"/>
        <v>30375000</v>
      </c>
      <c r="I74" s="70"/>
      <c r="K74" s="38" t="s">
        <v>74</v>
      </c>
      <c r="L74" s="38"/>
      <c r="P74" s="30"/>
      <c r="Q74" s="40"/>
    </row>
    <row r="75" spans="1:17" x14ac:dyDescent="0.2">
      <c r="A75" s="49"/>
      <c r="B75" s="44"/>
      <c r="C75" s="6"/>
      <c r="D75" s="7"/>
      <c r="E75" s="52"/>
      <c r="F75" s="6"/>
      <c r="G75" s="11"/>
      <c r="H75" s="12"/>
      <c r="I75" s="70"/>
      <c r="K75" s="60"/>
      <c r="L75" s="38"/>
      <c r="P75" s="30"/>
      <c r="Q75" s="40"/>
    </row>
    <row r="76" spans="1:17" ht="12.75" customHeight="1" x14ac:dyDescent="0.2">
      <c r="A76" s="35"/>
      <c r="B76" s="33"/>
      <c r="C76" s="6"/>
      <c r="D76" s="140" t="s">
        <v>36</v>
      </c>
      <c r="E76" s="113"/>
      <c r="F76" s="112"/>
      <c r="G76" s="74"/>
      <c r="H76" s="111"/>
      <c r="I76" s="70"/>
      <c r="K76" s="30"/>
      <c r="P76" s="30"/>
      <c r="Q76" s="30"/>
    </row>
    <row r="77" spans="1:17" ht="12.75" customHeight="1" x14ac:dyDescent="0.2">
      <c r="A77" s="35"/>
      <c r="B77" s="33"/>
      <c r="C77" s="6"/>
      <c r="D77" s="114" t="s">
        <v>116</v>
      </c>
      <c r="E77" s="113">
        <v>1</v>
      </c>
      <c r="F77" s="112" t="s">
        <v>15</v>
      </c>
      <c r="G77" s="74">
        <v>1125300</v>
      </c>
      <c r="H77" s="111">
        <f t="shared" ref="H77" si="3">E77*G77</f>
        <v>1125300</v>
      </c>
      <c r="I77" s="70"/>
      <c r="K77" s="30"/>
      <c r="P77" s="30"/>
      <c r="Q77" s="30"/>
    </row>
    <row r="78" spans="1:17" x14ac:dyDescent="0.2">
      <c r="A78" s="35"/>
      <c r="B78" s="33"/>
      <c r="C78" s="6"/>
      <c r="D78" s="7"/>
      <c r="E78" s="26"/>
      <c r="F78" s="6"/>
      <c r="G78" s="11"/>
      <c r="H78" s="12"/>
      <c r="I78" s="70"/>
      <c r="J78" s="30"/>
      <c r="K78" s="30"/>
    </row>
    <row r="79" spans="1:17" x14ac:dyDescent="0.2">
      <c r="A79" s="5"/>
      <c r="B79" s="8"/>
      <c r="C79" s="8"/>
      <c r="D79" s="83" t="s">
        <v>90</v>
      </c>
      <c r="E79" s="14">
        <v>1</v>
      </c>
      <c r="F79" s="8" t="s">
        <v>15</v>
      </c>
      <c r="G79" s="11">
        <v>28456300</v>
      </c>
      <c r="H79" s="77">
        <f>ROUND(J79*K79,-3)</f>
        <v>21641000</v>
      </c>
      <c r="I79"/>
      <c r="J79" s="78">
        <f>SUM(H67:H78)</f>
        <v>216405100</v>
      </c>
      <c r="K79">
        <v>0.1</v>
      </c>
      <c r="P79" s="30"/>
      <c r="Q79" s="30"/>
    </row>
    <row r="80" spans="1:17" ht="13.5" thickBot="1" x14ac:dyDescent="0.25">
      <c r="A80" s="27"/>
      <c r="B80" s="9" t="s">
        <v>14</v>
      </c>
      <c r="C80" s="9" t="s">
        <v>14</v>
      </c>
      <c r="D80" s="84" t="s">
        <v>91</v>
      </c>
      <c r="E80" s="25">
        <v>1</v>
      </c>
      <c r="F80" s="9" t="s">
        <v>15</v>
      </c>
      <c r="G80" s="54">
        <v>2235080</v>
      </c>
      <c r="H80" s="79">
        <f>ROUND(J80*K80,-3)</f>
        <v>2224000</v>
      </c>
      <c r="I80"/>
      <c r="J80" s="78">
        <f>SUM(H$12:H78)-J79</f>
        <v>5559821.0464646518</v>
      </c>
      <c r="K80">
        <v>0.4</v>
      </c>
    </row>
    <row r="81" spans="1:11" ht="13.5" thickTop="1" x14ac:dyDescent="0.2">
      <c r="A81" s="1" t="s">
        <v>32</v>
      </c>
      <c r="B81" s="41"/>
      <c r="C81" s="28" t="s">
        <v>21</v>
      </c>
      <c r="D81" s="20" t="s">
        <v>16</v>
      </c>
      <c r="E81" s="1" t="s">
        <v>17</v>
      </c>
      <c r="G81" s="10" t="s">
        <v>18</v>
      </c>
      <c r="H81" s="80">
        <f>ROUNDUP((H11)+J80*(1+K80)+J79*(1+K79),-3)</f>
        <v>256928000</v>
      </c>
      <c r="I81"/>
      <c r="J81"/>
      <c r="K81"/>
    </row>
    <row r="82" spans="1:11" x14ac:dyDescent="0.2">
      <c r="D82" s="21" t="s">
        <v>89</v>
      </c>
      <c r="E82" s="1" t="s">
        <v>17</v>
      </c>
      <c r="F82" s="18"/>
      <c r="G82" s="10" t="s">
        <v>18</v>
      </c>
      <c r="H82" s="81">
        <f>H83-H81</f>
        <v>41172000</v>
      </c>
      <c r="I82"/>
      <c r="J82"/>
      <c r="K82">
        <v>1.1599999999999999</v>
      </c>
    </row>
    <row r="83" spans="1:11" x14ac:dyDescent="0.2">
      <c r="D83" s="20" t="s">
        <v>19</v>
      </c>
      <c r="E83" s="1" t="s">
        <v>17</v>
      </c>
      <c r="G83" s="10" t="s">
        <v>18</v>
      </c>
      <c r="H83" s="82">
        <f>ROUNDUP(H81*K82/K83,0)*K83</f>
        <v>298100000</v>
      </c>
      <c r="I83"/>
      <c r="J83"/>
      <c r="K83" s="78">
        <v>100000</v>
      </c>
    </row>
    <row r="85" spans="1:11" x14ac:dyDescent="0.2">
      <c r="C85" s="34" t="s">
        <v>31</v>
      </c>
      <c r="D85" s="28" t="s">
        <v>33</v>
      </c>
    </row>
  </sheetData>
  <mergeCells count="1">
    <mergeCell ref="G8:H8"/>
  </mergeCells>
  <printOptions horizontalCentered="1"/>
  <pageMargins left="0.25" right="0.25" top="0.63" bottom="0.5" header="0.25" footer="0.5"/>
  <pageSetup scale="86" orientation="portrait" r:id="rId1"/>
  <headerFooter alignWithMargins="0">
    <oddHeader>&amp;CNorth Carolina Department of Transportation
Preliminary Estimate&amp;R[Page]</oddHeader>
    <oddFooter>Page &amp;P of &amp;N</oddFooter>
  </headerFooter>
  <rowBreaks count="1" manualBreakCount="1">
    <brk id="65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7D9EA-8F29-4D09-B024-5DC848CA4C0E}">
  <dimension ref="A1:Q86"/>
  <sheetViews>
    <sheetView zoomScaleNormal="100" workbookViewId="0">
      <selection activeCell="F6" sqref="F6"/>
    </sheetView>
  </sheetViews>
  <sheetFormatPr defaultColWidth="9.33203125" defaultRowHeight="12.75" x14ac:dyDescent="0.2"/>
  <cols>
    <col min="1" max="1" width="5.1640625" style="38" customWidth="1"/>
    <col min="2" max="2" width="7.33203125" style="38" customWidth="1"/>
    <col min="3" max="3" width="6.33203125" style="38" customWidth="1"/>
    <col min="4" max="4" width="55.83203125" style="38" customWidth="1"/>
    <col min="5" max="5" width="13.6640625" style="38" customWidth="1"/>
    <col min="6" max="6" width="7.1640625" style="38" customWidth="1"/>
    <col min="7" max="7" width="16.6640625" style="73" customWidth="1"/>
    <col min="8" max="8" width="20.1640625" style="73" customWidth="1"/>
    <col min="9" max="9" width="2.5" style="73" customWidth="1"/>
    <col min="10" max="10" width="18.33203125" style="38" customWidth="1"/>
    <col min="11" max="11" width="13.33203125" style="38" customWidth="1"/>
    <col min="12" max="12" width="5.6640625" style="38" customWidth="1"/>
    <col min="13" max="13" width="6.33203125" style="38" customWidth="1"/>
    <col min="14" max="14" width="7.33203125" style="38" customWidth="1"/>
    <col min="15" max="15" width="8.1640625" style="38" customWidth="1"/>
    <col min="16" max="16" width="3.1640625" style="38" customWidth="1"/>
    <col min="17" max="17" width="18" style="38" customWidth="1"/>
    <col min="18" max="16384" width="9.33203125" style="38"/>
  </cols>
  <sheetData>
    <row r="1" spans="1:9" ht="13.5" thickBot="1" x14ac:dyDescent="0.25">
      <c r="A1" s="38" t="s">
        <v>0</v>
      </c>
      <c r="D1" s="37" t="s">
        <v>64</v>
      </c>
      <c r="E1" s="46" t="s">
        <v>78</v>
      </c>
      <c r="G1" s="63" t="s">
        <v>1</v>
      </c>
      <c r="H1" s="58" t="s">
        <v>68</v>
      </c>
      <c r="I1" s="65"/>
    </row>
    <row r="2" spans="1:9" ht="13.5" thickBot="1" x14ac:dyDescent="0.25">
      <c r="A2" s="38" t="s">
        <v>2</v>
      </c>
      <c r="D2" s="110" t="s">
        <v>106</v>
      </c>
      <c r="E2" s="109"/>
      <c r="G2"/>
      <c r="H2" s="59" t="s">
        <v>67</v>
      </c>
      <c r="I2" s="59"/>
    </row>
    <row r="3" spans="1:9" x14ac:dyDescent="0.2">
      <c r="A3" s="38" t="s">
        <v>3</v>
      </c>
      <c r="G3" s="108"/>
      <c r="H3" s="107" t="s">
        <v>35</v>
      </c>
      <c r="I3" s="106"/>
    </row>
    <row r="4" spans="1:9" ht="13.5" thickBot="1" x14ac:dyDescent="0.25">
      <c r="A4" s="105" t="s">
        <v>4</v>
      </c>
      <c r="B4" s="105"/>
      <c r="C4" s="16"/>
      <c r="D4" s="22" t="s">
        <v>70</v>
      </c>
      <c r="E4" s="22"/>
      <c r="G4" s="23"/>
      <c r="H4" s="43">
        <f>H84</f>
        <v>63000000</v>
      </c>
      <c r="I4" s="67"/>
    </row>
    <row r="5" spans="1:9" ht="12.75" customHeight="1" x14ac:dyDescent="0.2">
      <c r="D5" s="22"/>
      <c r="G5" s="104"/>
    </row>
    <row r="6" spans="1:9" ht="12.75" customHeight="1" x14ac:dyDescent="0.35">
      <c r="A6" t="s">
        <v>5</v>
      </c>
      <c r="C6" s="102"/>
      <c r="D6" s="38" t="s">
        <v>105</v>
      </c>
      <c r="E6" s="103">
        <v>44334</v>
      </c>
      <c r="F6" s="22"/>
      <c r="G6" s="17"/>
    </row>
    <row r="7" spans="1:9" ht="12.75" customHeight="1" x14ac:dyDescent="0.2">
      <c r="A7" t="s">
        <v>6</v>
      </c>
      <c r="C7" s="102"/>
      <c r="D7" s="38" t="s">
        <v>104</v>
      </c>
      <c r="E7" s="101">
        <v>44340</v>
      </c>
      <c r="G7" s="134" t="s">
        <v>85</v>
      </c>
      <c r="H7" s="134"/>
    </row>
    <row r="8" spans="1:9" ht="12.75" customHeight="1" x14ac:dyDescent="0.2">
      <c r="A8" t="s">
        <v>51</v>
      </c>
      <c r="C8" s="102"/>
      <c r="D8" s="38" t="s">
        <v>103</v>
      </c>
      <c r="E8" s="101">
        <v>44344</v>
      </c>
      <c r="G8" s="122" t="s">
        <v>86</v>
      </c>
      <c r="H8" s="124">
        <v>44376</v>
      </c>
      <c r="I8" s="86"/>
    </row>
    <row r="9" spans="1:9" ht="12.75" customHeight="1" thickBot="1" x14ac:dyDescent="0.25">
      <c r="A9"/>
      <c r="C9" s="102"/>
      <c r="D9" s="38" t="s">
        <v>113</v>
      </c>
      <c r="E9" s="64">
        <v>45167</v>
      </c>
      <c r="F9" s="123"/>
      <c r="G9" s="123"/>
      <c r="H9" s="123"/>
      <c r="I9" s="86"/>
    </row>
    <row r="10" spans="1:9" ht="28.5" customHeight="1" thickTop="1" x14ac:dyDescent="0.2">
      <c r="A10" s="2" t="s">
        <v>7</v>
      </c>
      <c r="B10" s="100" t="s">
        <v>8</v>
      </c>
      <c r="C10" s="100" t="s">
        <v>9</v>
      </c>
      <c r="D10" s="99" t="s">
        <v>10</v>
      </c>
      <c r="E10" s="99"/>
      <c r="F10" s="99" t="s">
        <v>11</v>
      </c>
      <c r="G10" s="126" t="s">
        <v>12</v>
      </c>
      <c r="H10" s="98" t="s">
        <v>13</v>
      </c>
      <c r="I10" s="97"/>
    </row>
    <row r="11" spans="1:9" ht="12.95" customHeight="1" x14ac:dyDescent="0.2">
      <c r="A11" s="76"/>
      <c r="B11" s="83"/>
      <c r="C11" s="83"/>
      <c r="D11" s="83" t="s">
        <v>87</v>
      </c>
      <c r="E11" s="129">
        <v>1</v>
      </c>
      <c r="F11" s="130" t="s">
        <v>15</v>
      </c>
      <c r="G11" s="131">
        <f>(J80+J81)*0.05</f>
        <v>2182573.5008631772</v>
      </c>
      <c r="H11" s="132">
        <f t="shared" ref="H11:H12" si="0">SUM(E11*G11)</f>
        <v>2182573.5008631772</v>
      </c>
      <c r="I11" s="97"/>
    </row>
    <row r="12" spans="1:9" ht="12.95" customHeight="1" x14ac:dyDescent="0.2">
      <c r="A12" s="76"/>
      <c r="B12" s="83"/>
      <c r="C12" s="83"/>
      <c r="D12" s="83" t="s">
        <v>88</v>
      </c>
      <c r="E12" s="129">
        <v>1</v>
      </c>
      <c r="F12" s="130" t="s">
        <v>15</v>
      </c>
      <c r="G12" s="131">
        <v>300000</v>
      </c>
      <c r="H12" s="132">
        <f t="shared" si="0"/>
        <v>300000</v>
      </c>
      <c r="I12" s="97"/>
    </row>
    <row r="13" spans="1:9" x14ac:dyDescent="0.2">
      <c r="A13" s="49"/>
      <c r="B13" s="44"/>
      <c r="C13" s="6"/>
      <c r="D13" s="7" t="s">
        <v>20</v>
      </c>
      <c r="E13" s="55">
        <f>7.283*1.25</f>
        <v>9.1037499999999998</v>
      </c>
      <c r="F13" s="6" t="s">
        <v>22</v>
      </c>
      <c r="G13" s="72">
        <v>60000</v>
      </c>
      <c r="H13" s="94">
        <f>SUM(E13*G13)</f>
        <v>546225</v>
      </c>
      <c r="I13" s="70"/>
    </row>
    <row r="14" spans="1:9" x14ac:dyDescent="0.2">
      <c r="A14" s="49"/>
      <c r="B14" s="44"/>
      <c r="C14" s="6"/>
      <c r="D14" s="7" t="s">
        <v>54</v>
      </c>
      <c r="E14" s="55">
        <v>30000</v>
      </c>
      <c r="F14" s="6" t="s">
        <v>23</v>
      </c>
      <c r="G14" s="72">
        <v>16</v>
      </c>
      <c r="H14" s="94">
        <f>SUM(E14*G14)</f>
        <v>480000</v>
      </c>
      <c r="I14" s="70"/>
    </row>
    <row r="15" spans="1:9" x14ac:dyDescent="0.2">
      <c r="A15" s="49"/>
      <c r="B15" s="44"/>
      <c r="C15" s="6"/>
      <c r="D15" s="7" t="s">
        <v>55</v>
      </c>
      <c r="E15" s="55">
        <v>300000</v>
      </c>
      <c r="F15" s="6" t="s">
        <v>23</v>
      </c>
      <c r="G15" s="72">
        <v>13</v>
      </c>
      <c r="H15" s="94">
        <f>SUM(E15*G15)</f>
        <v>3900000</v>
      </c>
      <c r="I15" s="70"/>
    </row>
    <row r="16" spans="1:9" x14ac:dyDescent="0.2">
      <c r="A16" s="49"/>
      <c r="B16" s="44"/>
      <c r="C16" s="6"/>
      <c r="D16" s="7" t="s">
        <v>44</v>
      </c>
      <c r="E16" s="55">
        <f>395484/9</f>
        <v>43942.666666666664</v>
      </c>
      <c r="F16" s="6" t="s">
        <v>24</v>
      </c>
      <c r="G16" s="72">
        <v>8.5</v>
      </c>
      <c r="H16" s="94">
        <f>SUM(E16*G16)</f>
        <v>373512.66666666663</v>
      </c>
      <c r="I16" s="70"/>
    </row>
    <row r="17" spans="1:11" x14ac:dyDescent="0.2">
      <c r="A17" s="49"/>
      <c r="B17" s="44"/>
      <c r="C17" s="6"/>
      <c r="D17" s="7"/>
      <c r="E17" s="56"/>
      <c r="F17" s="6"/>
      <c r="G17" s="72"/>
      <c r="H17" s="94"/>
      <c r="I17" s="70"/>
    </row>
    <row r="18" spans="1:11" x14ac:dyDescent="0.2">
      <c r="A18" s="49"/>
      <c r="B18" s="44"/>
      <c r="C18" s="6"/>
      <c r="D18" s="39" t="s">
        <v>30</v>
      </c>
      <c r="E18" s="55"/>
      <c r="F18" s="6"/>
      <c r="G18" s="72"/>
      <c r="H18" s="94"/>
      <c r="I18" s="70"/>
    </row>
    <row r="19" spans="1:11" hidden="1" x14ac:dyDescent="0.2">
      <c r="A19" s="49"/>
      <c r="B19" s="44"/>
      <c r="C19" s="6"/>
      <c r="D19" s="7" t="s">
        <v>57</v>
      </c>
      <c r="E19" s="96">
        <v>0</v>
      </c>
      <c r="F19" s="6" t="s">
        <v>21</v>
      </c>
      <c r="G19" s="72">
        <v>0</v>
      </c>
      <c r="H19" s="12">
        <f t="shared" ref="H19:H27" si="1">SUM(E19*G19)</f>
        <v>0</v>
      </c>
      <c r="I19" s="70"/>
    </row>
    <row r="20" spans="1:11" hidden="1" x14ac:dyDescent="0.2">
      <c r="A20" s="49"/>
      <c r="B20" s="44"/>
      <c r="C20" s="6"/>
      <c r="D20" s="7" t="s">
        <v>56</v>
      </c>
      <c r="E20" s="96">
        <v>0</v>
      </c>
      <c r="F20" s="6" t="s">
        <v>21</v>
      </c>
      <c r="G20" s="72">
        <v>0</v>
      </c>
      <c r="H20" s="12">
        <f t="shared" si="1"/>
        <v>0</v>
      </c>
      <c r="I20" s="70"/>
    </row>
    <row r="21" spans="1:11" hidden="1" x14ac:dyDescent="0.2">
      <c r="A21" s="49"/>
      <c r="B21" s="44"/>
      <c r="C21" s="6"/>
      <c r="D21" s="7" t="s">
        <v>59</v>
      </c>
      <c r="E21" s="96">
        <v>0</v>
      </c>
      <c r="F21" s="6" t="s">
        <v>21</v>
      </c>
      <c r="G21" s="72">
        <v>0</v>
      </c>
      <c r="H21" s="12">
        <f t="shared" si="1"/>
        <v>0</v>
      </c>
      <c r="I21" s="70"/>
    </row>
    <row r="22" spans="1:11" x14ac:dyDescent="0.2">
      <c r="A22" s="49"/>
      <c r="B22" s="44"/>
      <c r="C22" s="6"/>
      <c r="D22" s="7" t="s">
        <v>50</v>
      </c>
      <c r="E22" s="96">
        <f>2060/5280</f>
        <v>0.39015151515151514</v>
      </c>
      <c r="F22" s="6" t="s">
        <v>21</v>
      </c>
      <c r="G22" s="72">
        <v>1125000</v>
      </c>
      <c r="H22" s="94">
        <f t="shared" si="1"/>
        <v>438920.45454545453</v>
      </c>
      <c r="I22" s="93"/>
      <c r="K22" s="47"/>
    </row>
    <row r="23" spans="1:11" hidden="1" x14ac:dyDescent="0.2">
      <c r="A23" s="49"/>
      <c r="B23" s="44"/>
      <c r="C23" s="6"/>
      <c r="D23" s="7" t="s">
        <v>52</v>
      </c>
      <c r="E23" s="96">
        <v>0</v>
      </c>
      <c r="F23" s="6" t="s">
        <v>21</v>
      </c>
      <c r="G23" s="72">
        <v>0</v>
      </c>
      <c r="H23" s="94">
        <f t="shared" si="1"/>
        <v>0</v>
      </c>
      <c r="I23" s="93"/>
    </row>
    <row r="24" spans="1:11" hidden="1" x14ac:dyDescent="0.2">
      <c r="A24" s="49"/>
      <c r="B24" s="44"/>
      <c r="C24" s="6"/>
      <c r="D24" s="7" t="s">
        <v>48</v>
      </c>
      <c r="E24" s="96">
        <v>0</v>
      </c>
      <c r="F24" s="6" t="s">
        <v>21</v>
      </c>
      <c r="G24" s="72">
        <v>0</v>
      </c>
      <c r="H24" s="94">
        <f t="shared" si="1"/>
        <v>0</v>
      </c>
      <c r="I24" s="93"/>
    </row>
    <row r="25" spans="1:11" x14ac:dyDescent="0.2">
      <c r="A25" s="49"/>
      <c r="B25" s="44"/>
      <c r="C25" s="6"/>
      <c r="D25" s="7" t="s">
        <v>53</v>
      </c>
      <c r="E25" s="96">
        <v>1</v>
      </c>
      <c r="F25" s="6" t="s">
        <v>21</v>
      </c>
      <c r="G25" s="72">
        <v>650000</v>
      </c>
      <c r="H25" s="94">
        <f t="shared" si="1"/>
        <v>650000</v>
      </c>
      <c r="I25" s="93"/>
    </row>
    <row r="26" spans="1:11" x14ac:dyDescent="0.2">
      <c r="A26" s="49"/>
      <c r="B26" s="44"/>
      <c r="C26" s="6"/>
      <c r="D26" s="7" t="s">
        <v>45</v>
      </c>
      <c r="E26" s="96">
        <f>1600/5280</f>
        <v>0.30303030303030304</v>
      </c>
      <c r="F26" s="6" t="s">
        <v>21</v>
      </c>
      <c r="G26" s="72">
        <v>400000</v>
      </c>
      <c r="H26" s="94">
        <f t="shared" si="1"/>
        <v>121212.12121212122</v>
      </c>
      <c r="I26" s="93"/>
    </row>
    <row r="27" spans="1:11" x14ac:dyDescent="0.2">
      <c r="A27" s="49"/>
      <c r="B27" s="44"/>
      <c r="C27" s="6"/>
      <c r="D27" s="7" t="s">
        <v>58</v>
      </c>
      <c r="E27" s="96">
        <f>2450/5280</f>
        <v>0.46401515151515149</v>
      </c>
      <c r="F27" s="6" t="s">
        <v>21</v>
      </c>
      <c r="G27" s="72">
        <v>400000</v>
      </c>
      <c r="H27" s="12">
        <f t="shared" si="1"/>
        <v>185606.06060606061</v>
      </c>
      <c r="I27" s="70"/>
    </row>
    <row r="28" spans="1:11" x14ac:dyDescent="0.2">
      <c r="A28" s="49"/>
      <c r="B28" s="44"/>
      <c r="C28" s="6"/>
      <c r="D28" s="7"/>
      <c r="E28" s="57"/>
      <c r="F28" s="6"/>
      <c r="G28" s="72"/>
      <c r="H28" s="12"/>
      <c r="I28" s="70"/>
    </row>
    <row r="29" spans="1:11" x14ac:dyDescent="0.2">
      <c r="A29" s="49"/>
      <c r="B29" s="44"/>
      <c r="C29" s="6"/>
      <c r="D29" s="7" t="s">
        <v>25</v>
      </c>
      <c r="E29" s="56">
        <f>ROUND(E32*1.1, -2)</f>
        <v>37600</v>
      </c>
      <c r="F29" s="6" t="s">
        <v>24</v>
      </c>
      <c r="G29" s="72">
        <v>3</v>
      </c>
      <c r="H29" s="12">
        <f>SUM(E29*G29)</f>
        <v>112800</v>
      </c>
      <c r="I29" s="70"/>
    </row>
    <row r="30" spans="1:11" x14ac:dyDescent="0.2">
      <c r="A30" s="49"/>
      <c r="B30" s="44"/>
      <c r="C30" s="6"/>
      <c r="D30" s="7"/>
      <c r="E30" s="56"/>
      <c r="F30" s="6"/>
      <c r="G30" s="72"/>
      <c r="H30" s="12"/>
      <c r="I30" s="70"/>
    </row>
    <row r="31" spans="1:11" x14ac:dyDescent="0.2">
      <c r="A31" s="49"/>
      <c r="B31" s="44"/>
      <c r="C31" s="6"/>
      <c r="D31" s="39" t="s">
        <v>39</v>
      </c>
      <c r="E31" s="56"/>
      <c r="F31" s="6"/>
      <c r="G31" s="72"/>
      <c r="H31" s="12"/>
      <c r="I31" s="70"/>
    </row>
    <row r="32" spans="1:11" x14ac:dyDescent="0.2">
      <c r="A32" s="49"/>
      <c r="B32" s="44"/>
      <c r="C32" s="6"/>
      <c r="D32" s="7" t="s">
        <v>46</v>
      </c>
      <c r="E32" s="56">
        <f>308017/9</f>
        <v>34224.111111111109</v>
      </c>
      <c r="F32" s="6" t="s">
        <v>24</v>
      </c>
      <c r="G32" s="72">
        <v>75</v>
      </c>
      <c r="H32" s="12">
        <f>SUM(E32*G32)</f>
        <v>2566808.333333333</v>
      </c>
      <c r="I32" s="70"/>
    </row>
    <row r="33" spans="1:11" x14ac:dyDescent="0.2">
      <c r="A33" s="49"/>
      <c r="B33" s="44"/>
      <c r="C33" s="6"/>
      <c r="D33" s="7" t="s">
        <v>47</v>
      </c>
      <c r="E33" s="56">
        <f>117795/9</f>
        <v>13088.333333333334</v>
      </c>
      <c r="F33" s="6" t="s">
        <v>24</v>
      </c>
      <c r="G33" s="72">
        <v>20</v>
      </c>
      <c r="H33" s="12">
        <f>SUM(E33*G33)</f>
        <v>261766.66666666669</v>
      </c>
      <c r="I33" s="70"/>
    </row>
    <row r="34" spans="1:11" x14ac:dyDescent="0.2">
      <c r="A34" s="49"/>
      <c r="B34" s="44"/>
      <c r="C34" s="6"/>
      <c r="D34" s="7"/>
      <c r="E34" s="56"/>
      <c r="F34" s="6"/>
      <c r="G34" s="72"/>
      <c r="H34" s="12"/>
      <c r="I34" s="70"/>
      <c r="K34" s="47"/>
    </row>
    <row r="35" spans="1:11" x14ac:dyDescent="0.2">
      <c r="A35" s="49"/>
      <c r="B35" s="44"/>
      <c r="C35" s="6"/>
      <c r="D35" s="7" t="s">
        <v>61</v>
      </c>
      <c r="E35" s="56">
        <v>400</v>
      </c>
      <c r="F35" s="6" t="s">
        <v>27</v>
      </c>
      <c r="G35" s="72">
        <v>35</v>
      </c>
      <c r="H35" s="12">
        <f>SUM(E35*G35)</f>
        <v>14000</v>
      </c>
      <c r="I35" s="70"/>
    </row>
    <row r="36" spans="1:11" x14ac:dyDescent="0.2">
      <c r="A36" s="49"/>
      <c r="B36" s="44"/>
      <c r="C36" s="6"/>
      <c r="D36" s="7"/>
      <c r="E36" s="56"/>
      <c r="F36" s="6"/>
      <c r="G36" s="72"/>
      <c r="H36" s="12"/>
      <c r="I36" s="70"/>
      <c r="K36" s="47"/>
    </row>
    <row r="37" spans="1:11" x14ac:dyDescent="0.2">
      <c r="A37" s="49"/>
      <c r="B37" s="44"/>
      <c r="C37" s="6"/>
      <c r="D37" s="7" t="s">
        <v>73</v>
      </c>
      <c r="E37" s="56">
        <f>12910/9</f>
        <v>1434.4444444444443</v>
      </c>
      <c r="F37" s="6" t="s">
        <v>24</v>
      </c>
      <c r="G37" s="72">
        <v>60</v>
      </c>
      <c r="H37" s="12">
        <f>SUM(E37*G37)</f>
        <v>86066.666666666657</v>
      </c>
      <c r="I37" s="70"/>
    </row>
    <row r="38" spans="1:11" x14ac:dyDescent="0.2">
      <c r="A38" s="49"/>
      <c r="B38" s="44"/>
      <c r="C38" s="6"/>
      <c r="D38" s="7"/>
      <c r="E38" s="56"/>
      <c r="F38" s="6"/>
      <c r="G38" s="72"/>
      <c r="H38" s="12"/>
      <c r="I38" s="70"/>
      <c r="K38" s="47"/>
    </row>
    <row r="39" spans="1:11" x14ac:dyDescent="0.2">
      <c r="A39" s="49"/>
      <c r="B39" s="44"/>
      <c r="C39" s="6"/>
      <c r="D39" s="39" t="s">
        <v>41</v>
      </c>
      <c r="E39" s="56"/>
      <c r="F39" s="6"/>
      <c r="G39" s="72"/>
      <c r="H39" s="12"/>
      <c r="I39" s="70"/>
      <c r="K39" s="47"/>
    </row>
    <row r="40" spans="1:11" x14ac:dyDescent="0.2">
      <c r="A40" s="49"/>
      <c r="B40" s="44"/>
      <c r="C40" s="6"/>
      <c r="D40" s="7" t="s">
        <v>49</v>
      </c>
      <c r="E40" s="56">
        <v>7000</v>
      </c>
      <c r="F40" s="6" t="s">
        <v>27</v>
      </c>
      <c r="G40" s="72">
        <v>1.5</v>
      </c>
      <c r="H40" s="12">
        <f>SUM(E40*G40)</f>
        <v>10500</v>
      </c>
      <c r="I40" s="70"/>
    </row>
    <row r="41" spans="1:11" x14ac:dyDescent="0.2">
      <c r="A41" s="49"/>
      <c r="B41" s="44"/>
      <c r="C41" s="6"/>
      <c r="D41" s="7" t="s">
        <v>42</v>
      </c>
      <c r="E41" s="56">
        <v>5000</v>
      </c>
      <c r="F41" s="6" t="s">
        <v>27</v>
      </c>
      <c r="G41" s="72">
        <v>25</v>
      </c>
      <c r="H41" s="12">
        <f>SUM(E41*G41)</f>
        <v>125000</v>
      </c>
      <c r="I41" s="70"/>
      <c r="K41" s="47"/>
    </row>
    <row r="42" spans="1:11" x14ac:dyDescent="0.2">
      <c r="A42" s="49"/>
      <c r="B42" s="44"/>
      <c r="C42" s="6"/>
      <c r="D42" s="7" t="s">
        <v>43</v>
      </c>
      <c r="E42" s="56">
        <v>4</v>
      </c>
      <c r="F42" s="6" t="s">
        <v>34</v>
      </c>
      <c r="G42" s="72">
        <v>2600</v>
      </c>
      <c r="H42" s="12">
        <f>SUM(E42*G42)</f>
        <v>10400</v>
      </c>
      <c r="I42" s="70"/>
    </row>
    <row r="43" spans="1:11" x14ac:dyDescent="0.2">
      <c r="A43" s="49"/>
      <c r="B43" s="44"/>
      <c r="C43" s="6"/>
      <c r="D43" s="7" t="s">
        <v>62</v>
      </c>
      <c r="E43" s="56">
        <v>5</v>
      </c>
      <c r="F43" s="6" t="s">
        <v>34</v>
      </c>
      <c r="G43" s="72">
        <v>3600</v>
      </c>
      <c r="H43" s="12">
        <f>SUM(E43*G43)</f>
        <v>18000</v>
      </c>
      <c r="I43" s="70"/>
    </row>
    <row r="44" spans="1:11" x14ac:dyDescent="0.2">
      <c r="A44" s="49"/>
      <c r="B44" s="44"/>
      <c r="C44" s="6"/>
      <c r="D44" s="7"/>
      <c r="E44" s="56"/>
      <c r="F44" s="6"/>
      <c r="G44" s="72"/>
      <c r="H44" s="12"/>
      <c r="I44" s="70"/>
    </row>
    <row r="45" spans="1:11" x14ac:dyDescent="0.2">
      <c r="A45" s="49"/>
      <c r="B45" s="44"/>
      <c r="C45" s="6"/>
      <c r="D45" s="7" t="s">
        <v>102</v>
      </c>
      <c r="E45" s="56">
        <v>2150</v>
      </c>
      <c r="F45" s="6" t="s">
        <v>27</v>
      </c>
      <c r="G45" s="72">
        <v>225</v>
      </c>
      <c r="H45" s="94">
        <f>SUM(E45*G45)</f>
        <v>483750</v>
      </c>
      <c r="I45" s="93"/>
    </row>
    <row r="46" spans="1:11" x14ac:dyDescent="0.2">
      <c r="A46" s="49"/>
      <c r="B46" s="44"/>
      <c r="C46" s="6"/>
      <c r="D46" s="7"/>
      <c r="E46" s="51"/>
      <c r="F46" s="6"/>
      <c r="G46" s="72"/>
      <c r="H46" s="12"/>
      <c r="I46" s="70"/>
      <c r="K46" s="47"/>
    </row>
    <row r="47" spans="1:11" x14ac:dyDescent="0.2">
      <c r="A47" s="49"/>
      <c r="B47" s="44"/>
      <c r="C47" s="6"/>
      <c r="D47" s="7" t="s">
        <v>26</v>
      </c>
      <c r="E47" s="56">
        <f>E13+(E32+E33+E16)/4840</f>
        <v>27.958111799816344</v>
      </c>
      <c r="F47" s="6" t="s">
        <v>22</v>
      </c>
      <c r="G47" s="72">
        <v>50000</v>
      </c>
      <c r="H47" s="12">
        <f>SUM(E47*G47)</f>
        <v>1397905.5899908172</v>
      </c>
      <c r="I47" s="70"/>
    </row>
    <row r="48" spans="1:11" x14ac:dyDescent="0.2">
      <c r="A48" s="49"/>
      <c r="B48" s="44"/>
      <c r="C48" s="6"/>
      <c r="D48" s="7"/>
      <c r="E48" s="95"/>
      <c r="F48" s="6"/>
      <c r="G48" s="72"/>
      <c r="H48" s="12"/>
      <c r="I48" s="70"/>
    </row>
    <row r="49" spans="1:17" x14ac:dyDescent="0.2">
      <c r="A49" s="49"/>
      <c r="B49" s="44"/>
      <c r="C49" s="6"/>
      <c r="D49" s="7" t="s">
        <v>28</v>
      </c>
      <c r="E49" s="56">
        <v>1</v>
      </c>
      <c r="F49" s="6" t="s">
        <v>15</v>
      </c>
      <c r="G49" s="72">
        <v>800000</v>
      </c>
      <c r="H49" s="94">
        <f>SUM(E49*G49)</f>
        <v>800000</v>
      </c>
      <c r="I49" s="93"/>
    </row>
    <row r="50" spans="1:17" x14ac:dyDescent="0.2">
      <c r="A50" s="49"/>
      <c r="B50" s="44"/>
      <c r="C50" s="6"/>
      <c r="D50" s="7"/>
      <c r="E50" s="57"/>
      <c r="F50" s="6"/>
      <c r="G50" s="72"/>
      <c r="H50" s="94"/>
      <c r="I50" s="93"/>
      <c r="P50" s="40"/>
      <c r="Q50" s="40"/>
    </row>
    <row r="51" spans="1:17" x14ac:dyDescent="0.2">
      <c r="A51" s="49"/>
      <c r="B51" s="44"/>
      <c r="C51" s="6"/>
      <c r="D51" s="39" t="s">
        <v>63</v>
      </c>
      <c r="E51" s="56"/>
      <c r="F51" s="6"/>
      <c r="G51" s="72"/>
      <c r="H51" s="94"/>
      <c r="I51" s="93"/>
      <c r="K51" s="47"/>
      <c r="P51" s="40"/>
      <c r="Q51" s="40"/>
    </row>
    <row r="52" spans="1:17" x14ac:dyDescent="0.2">
      <c r="A52" s="49"/>
      <c r="B52" s="44"/>
      <c r="C52" s="6"/>
      <c r="D52" s="7" t="s">
        <v>72</v>
      </c>
      <c r="E52" s="56">
        <v>1</v>
      </c>
      <c r="F52" s="6" t="s">
        <v>34</v>
      </c>
      <c r="G52" s="72">
        <v>400000</v>
      </c>
      <c r="H52" s="94">
        <f>SUM(E52*G52)</f>
        <v>400000</v>
      </c>
      <c r="I52" s="93"/>
      <c r="K52" s="47"/>
      <c r="P52" s="40"/>
      <c r="Q52" s="40"/>
    </row>
    <row r="53" spans="1:17" x14ac:dyDescent="0.2">
      <c r="A53" s="49"/>
      <c r="B53" s="44"/>
      <c r="C53" s="6"/>
      <c r="D53" s="7" t="s">
        <v>65</v>
      </c>
      <c r="E53" s="55">
        <v>1</v>
      </c>
      <c r="F53" s="6" t="s">
        <v>34</v>
      </c>
      <c r="G53" s="72">
        <v>8500</v>
      </c>
      <c r="H53" s="12">
        <f>SUM(E53*G53)</f>
        <v>8500</v>
      </c>
      <c r="I53" s="70"/>
      <c r="P53" s="85"/>
      <c r="Q53" s="40"/>
    </row>
    <row r="54" spans="1:17" x14ac:dyDescent="0.2">
      <c r="A54" s="49"/>
      <c r="B54" s="44"/>
      <c r="C54" s="6"/>
      <c r="D54" s="7"/>
      <c r="E54" s="56"/>
      <c r="F54" s="6"/>
      <c r="G54" s="72"/>
      <c r="H54" s="12"/>
      <c r="I54" s="70"/>
      <c r="K54" s="47"/>
      <c r="P54" s="40"/>
      <c r="Q54" s="40"/>
    </row>
    <row r="55" spans="1:17" x14ac:dyDescent="0.2">
      <c r="A55" s="49"/>
      <c r="B55" s="44"/>
      <c r="C55" s="6"/>
      <c r="D55" s="39" t="s">
        <v>101</v>
      </c>
      <c r="E55" s="56"/>
      <c r="F55" s="6"/>
      <c r="G55" s="72"/>
      <c r="H55" s="94"/>
      <c r="I55" s="93"/>
      <c r="K55" s="47"/>
      <c r="P55" s="40"/>
      <c r="Q55" s="40"/>
    </row>
    <row r="56" spans="1:17" x14ac:dyDescent="0.2">
      <c r="A56" s="49"/>
      <c r="B56" s="44"/>
      <c r="C56" s="6"/>
      <c r="D56" s="7" t="s">
        <v>100</v>
      </c>
      <c r="E56" s="56">
        <v>1</v>
      </c>
      <c r="F56" s="6" t="s">
        <v>34</v>
      </c>
      <c r="G56" s="72">
        <v>225000</v>
      </c>
      <c r="H56" s="94">
        <f>SUM(E56*G56)</f>
        <v>225000</v>
      </c>
      <c r="I56" s="93"/>
      <c r="K56" s="47"/>
      <c r="P56" s="40"/>
      <c r="Q56" s="40"/>
    </row>
    <row r="57" spans="1:17" x14ac:dyDescent="0.2">
      <c r="A57" s="49"/>
      <c r="B57" s="44"/>
      <c r="C57" s="6"/>
      <c r="D57" s="7" t="s">
        <v>99</v>
      </c>
      <c r="E57" s="57"/>
      <c r="F57" s="6"/>
      <c r="G57" s="72"/>
      <c r="H57" s="12"/>
      <c r="I57" s="70"/>
      <c r="P57" s="40"/>
      <c r="Q57" s="40"/>
    </row>
    <row r="58" spans="1:17" x14ac:dyDescent="0.2">
      <c r="A58" s="49"/>
      <c r="B58" s="44"/>
      <c r="C58" s="6"/>
      <c r="D58" s="7"/>
      <c r="E58" s="57"/>
      <c r="F58" s="6"/>
      <c r="G58" s="72"/>
      <c r="H58" s="12"/>
      <c r="I58" s="70"/>
      <c r="P58" s="40"/>
      <c r="Q58" s="40"/>
    </row>
    <row r="59" spans="1:17" x14ac:dyDescent="0.2">
      <c r="A59" s="49"/>
      <c r="B59" s="44"/>
      <c r="C59" s="6"/>
      <c r="D59" s="39" t="s">
        <v>29</v>
      </c>
      <c r="E59" s="55"/>
      <c r="F59" s="6"/>
      <c r="G59" s="72"/>
      <c r="H59" s="12"/>
      <c r="I59" s="70"/>
      <c r="K59" s="47"/>
      <c r="P59" s="40"/>
      <c r="Q59" s="40"/>
    </row>
    <row r="60" spans="1:17" hidden="1" x14ac:dyDescent="0.2">
      <c r="A60" s="49"/>
      <c r="B60" s="44"/>
      <c r="C60" s="6"/>
      <c r="D60" s="7" t="s">
        <v>57</v>
      </c>
      <c r="E60" s="55">
        <f t="shared" ref="E60:E68" si="2">E19</f>
        <v>0</v>
      </c>
      <c r="F60" s="6" t="s">
        <v>21</v>
      </c>
      <c r="G60" s="72">
        <v>0</v>
      </c>
      <c r="H60" s="12">
        <f t="shared" ref="H60:H68" si="3">SUM(E60*G60)</f>
        <v>0</v>
      </c>
      <c r="I60" s="70"/>
      <c r="P60" s="85"/>
      <c r="Q60" s="85"/>
    </row>
    <row r="61" spans="1:17" hidden="1" x14ac:dyDescent="0.2">
      <c r="A61" s="49"/>
      <c r="B61" s="44"/>
      <c r="C61" s="6"/>
      <c r="D61" s="7" t="s">
        <v>56</v>
      </c>
      <c r="E61" s="55">
        <f t="shared" si="2"/>
        <v>0</v>
      </c>
      <c r="F61" s="6" t="s">
        <v>21</v>
      </c>
      <c r="G61" s="72">
        <v>0</v>
      </c>
      <c r="H61" s="12">
        <f t="shared" si="3"/>
        <v>0</v>
      </c>
      <c r="I61" s="70"/>
      <c r="P61" s="85"/>
      <c r="Q61" s="85"/>
    </row>
    <row r="62" spans="1:17" hidden="1" x14ac:dyDescent="0.2">
      <c r="A62" s="49"/>
      <c r="B62" s="44"/>
      <c r="C62" s="6"/>
      <c r="D62" s="7" t="s">
        <v>59</v>
      </c>
      <c r="E62" s="55">
        <f t="shared" si="2"/>
        <v>0</v>
      </c>
      <c r="F62" s="6" t="s">
        <v>21</v>
      </c>
      <c r="G62" s="72">
        <v>0</v>
      </c>
      <c r="H62" s="12">
        <f t="shared" si="3"/>
        <v>0</v>
      </c>
      <c r="I62" s="70"/>
      <c r="P62" s="85"/>
      <c r="Q62" s="85"/>
    </row>
    <row r="63" spans="1:17" x14ac:dyDescent="0.2">
      <c r="A63" s="49"/>
      <c r="B63" s="44"/>
      <c r="C63" s="6"/>
      <c r="D63" s="7" t="s">
        <v>50</v>
      </c>
      <c r="E63" s="55">
        <f t="shared" si="2"/>
        <v>0.39015151515151514</v>
      </c>
      <c r="F63" s="6" t="s">
        <v>21</v>
      </c>
      <c r="G63" s="72">
        <v>50000</v>
      </c>
      <c r="H63" s="94">
        <f t="shared" si="3"/>
        <v>19507.575757575756</v>
      </c>
      <c r="I63" s="93"/>
      <c r="P63" s="85"/>
      <c r="Q63" s="85"/>
    </row>
    <row r="64" spans="1:17" hidden="1" x14ac:dyDescent="0.2">
      <c r="A64" s="49"/>
      <c r="B64" s="44"/>
      <c r="C64" s="6"/>
      <c r="D64" s="7" t="s">
        <v>52</v>
      </c>
      <c r="E64" s="55">
        <f t="shared" si="2"/>
        <v>0</v>
      </c>
      <c r="F64" s="6" t="s">
        <v>21</v>
      </c>
      <c r="G64" s="72">
        <v>0</v>
      </c>
      <c r="H64" s="12">
        <f t="shared" si="3"/>
        <v>0</v>
      </c>
      <c r="I64" s="70"/>
      <c r="P64" s="85"/>
      <c r="Q64" s="85"/>
    </row>
    <row r="65" spans="1:17" hidden="1" x14ac:dyDescent="0.2">
      <c r="A65" s="49"/>
      <c r="B65" s="44"/>
      <c r="C65" s="6"/>
      <c r="D65" s="7" t="s">
        <v>48</v>
      </c>
      <c r="E65" s="55">
        <f t="shared" si="2"/>
        <v>0</v>
      </c>
      <c r="F65" s="6" t="s">
        <v>21</v>
      </c>
      <c r="G65" s="72">
        <v>0</v>
      </c>
      <c r="H65" s="12">
        <f t="shared" si="3"/>
        <v>0</v>
      </c>
      <c r="I65" s="70"/>
      <c r="P65" s="85"/>
      <c r="Q65" s="85"/>
    </row>
    <row r="66" spans="1:17" x14ac:dyDescent="0.2">
      <c r="A66" s="49"/>
      <c r="B66" s="44"/>
      <c r="C66" s="6"/>
      <c r="D66" s="7" t="s">
        <v>53</v>
      </c>
      <c r="E66" s="55">
        <f t="shared" si="2"/>
        <v>1</v>
      </c>
      <c r="F66" s="6" t="s">
        <v>21</v>
      </c>
      <c r="G66" s="72">
        <v>25000</v>
      </c>
      <c r="H66" s="12">
        <f t="shared" si="3"/>
        <v>25000</v>
      </c>
      <c r="I66" s="70"/>
      <c r="P66" s="85"/>
      <c r="Q66" s="85"/>
    </row>
    <row r="67" spans="1:17" x14ac:dyDescent="0.2">
      <c r="A67" s="49"/>
      <c r="B67" s="44"/>
      <c r="C67" s="6"/>
      <c r="D67" s="7" t="s">
        <v>45</v>
      </c>
      <c r="E67" s="55">
        <f t="shared" si="2"/>
        <v>0.30303030303030304</v>
      </c>
      <c r="F67" s="6" t="s">
        <v>21</v>
      </c>
      <c r="G67" s="72">
        <v>15000</v>
      </c>
      <c r="H67" s="12">
        <f t="shared" si="3"/>
        <v>4545.454545454546</v>
      </c>
      <c r="I67" s="70"/>
      <c r="P67" s="85"/>
      <c r="Q67" s="85"/>
    </row>
    <row r="68" spans="1:17" x14ac:dyDescent="0.2">
      <c r="A68" s="49"/>
      <c r="B68" s="44"/>
      <c r="C68" s="6"/>
      <c r="D68" s="7" t="s">
        <v>58</v>
      </c>
      <c r="E68" s="55">
        <f t="shared" si="2"/>
        <v>0.46401515151515149</v>
      </c>
      <c r="F68" s="6" t="s">
        <v>21</v>
      </c>
      <c r="G68" s="72">
        <v>15000</v>
      </c>
      <c r="H68" s="12">
        <f t="shared" si="3"/>
        <v>6960.2272727272721</v>
      </c>
      <c r="I68" s="70"/>
      <c r="J68" s="85">
        <f>SUM(H13:H68)</f>
        <v>13271986.817263544</v>
      </c>
      <c r="P68" s="85"/>
      <c r="Q68" s="85"/>
    </row>
    <row r="69" spans="1:17" x14ac:dyDescent="0.2">
      <c r="A69" s="49"/>
      <c r="B69" s="44"/>
      <c r="C69" s="6"/>
      <c r="D69" s="7"/>
      <c r="E69" s="55"/>
      <c r="F69" s="6"/>
      <c r="G69" s="72"/>
      <c r="H69" s="12"/>
      <c r="I69" s="70"/>
      <c r="P69" s="85"/>
      <c r="Q69" s="85"/>
    </row>
    <row r="70" spans="1:17" x14ac:dyDescent="0.2">
      <c r="A70" s="49"/>
      <c r="B70" s="44"/>
      <c r="C70" s="6"/>
      <c r="D70" s="39" t="s">
        <v>60</v>
      </c>
      <c r="E70" s="55"/>
      <c r="F70" s="6"/>
      <c r="G70" s="72"/>
      <c r="H70" s="12"/>
      <c r="I70" s="70"/>
      <c r="K70" s="47"/>
      <c r="P70" s="85"/>
      <c r="Q70" s="85"/>
    </row>
    <row r="71" spans="1:17" x14ac:dyDescent="0.2">
      <c r="A71" s="49"/>
      <c r="B71" s="44"/>
      <c r="C71" s="6"/>
      <c r="D71" s="7" t="s">
        <v>98</v>
      </c>
      <c r="E71" s="55">
        <v>186200</v>
      </c>
      <c r="F71" s="6" t="s">
        <v>71</v>
      </c>
      <c r="G71" s="72">
        <v>140</v>
      </c>
      <c r="H71" s="12">
        <f>SUM(E71*G71)</f>
        <v>26068000</v>
      </c>
      <c r="I71" s="70"/>
      <c r="K71" s="38" t="s">
        <v>74</v>
      </c>
      <c r="P71" s="85"/>
      <c r="Q71" s="40"/>
    </row>
    <row r="72" spans="1:17" x14ac:dyDescent="0.2">
      <c r="A72" s="49"/>
      <c r="B72" s="44"/>
      <c r="C72" s="6"/>
      <c r="D72" s="7" t="s">
        <v>97</v>
      </c>
      <c r="E72" s="55">
        <f>60*215</f>
        <v>12900</v>
      </c>
      <c r="F72" s="6" t="s">
        <v>71</v>
      </c>
      <c r="G72" s="72">
        <v>26</v>
      </c>
      <c r="H72" s="12">
        <f>SUM(E72*G72)</f>
        <v>335400</v>
      </c>
      <c r="I72" s="70"/>
      <c r="P72" s="85"/>
      <c r="Q72" s="40"/>
    </row>
    <row r="73" spans="1:17" x14ac:dyDescent="0.2">
      <c r="A73" s="49"/>
      <c r="B73" s="44"/>
      <c r="C73" s="6"/>
      <c r="D73" s="137"/>
      <c r="E73" s="55"/>
      <c r="F73" s="136"/>
      <c r="G73" s="72"/>
      <c r="H73" s="94"/>
      <c r="I73" s="70"/>
      <c r="P73" s="85"/>
      <c r="Q73" s="40"/>
    </row>
    <row r="74" spans="1:17" ht="12.75" customHeight="1" x14ac:dyDescent="0.2">
      <c r="A74" s="50"/>
      <c r="B74" s="44"/>
      <c r="C74" s="6"/>
      <c r="D74" s="138" t="s">
        <v>111</v>
      </c>
      <c r="E74" s="56"/>
      <c r="F74" s="136"/>
      <c r="G74" s="72"/>
      <c r="H74" s="94"/>
      <c r="I74" s="70"/>
      <c r="K74" s="85"/>
      <c r="P74" s="85"/>
      <c r="Q74" s="85"/>
    </row>
    <row r="75" spans="1:17" ht="12.75" customHeight="1" x14ac:dyDescent="0.2">
      <c r="A75" s="50"/>
      <c r="B75" s="44"/>
      <c r="C75" s="6"/>
      <c r="D75" s="137" t="s">
        <v>96</v>
      </c>
      <c r="E75" s="56">
        <v>1</v>
      </c>
      <c r="F75" s="136" t="s">
        <v>15</v>
      </c>
      <c r="G75" s="72">
        <f>1056250*1.6</f>
        <v>1690000</v>
      </c>
      <c r="H75" s="94">
        <f>SUM(E75*G75)</f>
        <v>1690000</v>
      </c>
      <c r="I75" s="70"/>
      <c r="K75" s="85"/>
      <c r="P75" s="85"/>
      <c r="Q75" s="85"/>
    </row>
    <row r="76" spans="1:17" ht="12.75" customHeight="1" x14ac:dyDescent="0.2">
      <c r="A76" s="50"/>
      <c r="B76" s="44"/>
      <c r="C76" s="6"/>
      <c r="D76" s="137" t="s">
        <v>95</v>
      </c>
      <c r="E76" s="56">
        <v>1</v>
      </c>
      <c r="F76" s="136" t="s">
        <v>15</v>
      </c>
      <c r="G76" s="72">
        <f>99932*1.6</f>
        <v>159891.20000000001</v>
      </c>
      <c r="H76" s="94">
        <f>SUM(E76*G76)</f>
        <v>159891.20000000001</v>
      </c>
      <c r="I76" s="70"/>
      <c r="K76" s="85"/>
      <c r="P76" s="85"/>
      <c r="Q76" s="85"/>
    </row>
    <row r="77" spans="1:17" ht="12.75" customHeight="1" x14ac:dyDescent="0.2">
      <c r="A77" s="50"/>
      <c r="B77" s="44"/>
      <c r="C77" s="6"/>
      <c r="D77" s="137" t="s">
        <v>94</v>
      </c>
      <c r="E77" s="56">
        <v>1</v>
      </c>
      <c r="F77" s="136" t="s">
        <v>15</v>
      </c>
      <c r="G77" s="72">
        <f>1056250*1.6</f>
        <v>1690000</v>
      </c>
      <c r="H77" s="94">
        <f>SUM(E77*G77)</f>
        <v>1690000</v>
      </c>
      <c r="I77" s="70"/>
      <c r="K77" s="85"/>
      <c r="P77" s="85"/>
      <c r="Q77" s="85"/>
    </row>
    <row r="78" spans="1:17" x14ac:dyDescent="0.2">
      <c r="A78" s="50"/>
      <c r="B78" s="44"/>
      <c r="C78" s="6"/>
      <c r="D78" s="137" t="s">
        <v>93</v>
      </c>
      <c r="E78" s="56">
        <v>1</v>
      </c>
      <c r="F78" s="136" t="s">
        <v>15</v>
      </c>
      <c r="G78" s="72">
        <f>85120*1.6</f>
        <v>136192</v>
      </c>
      <c r="H78" s="94">
        <f>SUM(E78*G78)</f>
        <v>136192</v>
      </c>
      <c r="I78" s="93"/>
      <c r="J78" s="85">
        <f>SUM(H71:H78)</f>
        <v>30079483.199999999</v>
      </c>
      <c r="K78" s="85"/>
      <c r="P78" s="85"/>
      <c r="Q78" s="85"/>
    </row>
    <row r="79" spans="1:17" x14ac:dyDescent="0.2">
      <c r="A79" s="50"/>
      <c r="B79" s="44"/>
      <c r="C79" s="6"/>
      <c r="D79" s="137"/>
      <c r="E79" s="56"/>
      <c r="F79" s="136"/>
      <c r="G79" s="72"/>
      <c r="H79" s="94"/>
      <c r="I79" s="70"/>
      <c r="K79" s="85"/>
    </row>
    <row r="80" spans="1:17" x14ac:dyDescent="0.2">
      <c r="A80" s="49"/>
      <c r="B80" s="6"/>
      <c r="C80" s="6"/>
      <c r="D80" s="139" t="s">
        <v>37</v>
      </c>
      <c r="E80" s="56">
        <v>1</v>
      </c>
      <c r="F80" s="136" t="s">
        <v>15</v>
      </c>
      <c r="G80" s="72">
        <v>3908400</v>
      </c>
      <c r="H80" s="132">
        <f>ROUND(J80*K80,-3)</f>
        <v>3008000</v>
      </c>
      <c r="I80"/>
      <c r="J80" s="78">
        <f>SUM(H71:H79)</f>
        <v>30079483.199999999</v>
      </c>
      <c r="K80">
        <v>0.1</v>
      </c>
      <c r="P80" s="85"/>
      <c r="Q80" s="85"/>
    </row>
    <row r="81" spans="1:11" ht="13.5" thickBot="1" x14ac:dyDescent="0.25">
      <c r="A81" s="91"/>
      <c r="B81" s="88" t="s">
        <v>14</v>
      </c>
      <c r="C81" s="88" t="s">
        <v>14</v>
      </c>
      <c r="D81" s="90" t="s">
        <v>38</v>
      </c>
      <c r="E81" s="89">
        <v>1</v>
      </c>
      <c r="F81" s="88" t="s">
        <v>15</v>
      </c>
      <c r="G81" s="54">
        <v>4813580</v>
      </c>
      <c r="H81" s="79">
        <f>ROUND(J81*K81,-3)</f>
        <v>5429000</v>
      </c>
      <c r="I81"/>
      <c r="J81" s="78">
        <f>SUM(H$12:H79)-J80</f>
        <v>13571986.817263547</v>
      </c>
      <c r="K81">
        <v>0.4</v>
      </c>
    </row>
    <row r="82" spans="1:11" ht="13.5" thickTop="1" x14ac:dyDescent="0.2">
      <c r="A82" s="38" t="s">
        <v>32</v>
      </c>
      <c r="B82" s="87"/>
      <c r="C82" s="22" t="s">
        <v>21</v>
      </c>
      <c r="D82" s="20" t="s">
        <v>16</v>
      </c>
      <c r="E82" s="38" t="s">
        <v>17</v>
      </c>
      <c r="G82" s="73" t="s">
        <v>18</v>
      </c>
      <c r="H82" s="80">
        <f>ROUNDUP((H11)+J81*(1+K81)+J80*(1+K80),-3)</f>
        <v>54271000</v>
      </c>
      <c r="I82"/>
      <c r="J82"/>
      <c r="K82"/>
    </row>
    <row r="83" spans="1:11" x14ac:dyDescent="0.2">
      <c r="D83" s="21" t="s">
        <v>89</v>
      </c>
      <c r="E83" s="38" t="s">
        <v>17</v>
      </c>
      <c r="F83" s="18"/>
      <c r="G83" s="73" t="s">
        <v>18</v>
      </c>
      <c r="H83" s="81">
        <f>H84-H82</f>
        <v>8729000</v>
      </c>
      <c r="I83"/>
      <c r="J83"/>
      <c r="K83">
        <v>1.1599999999999999</v>
      </c>
    </row>
    <row r="84" spans="1:11" x14ac:dyDescent="0.2">
      <c r="D84" s="20" t="s">
        <v>19</v>
      </c>
      <c r="E84" s="38" t="s">
        <v>17</v>
      </c>
      <c r="G84" s="73" t="s">
        <v>18</v>
      </c>
      <c r="H84" s="82">
        <f>ROUNDUP(H82*K83/K84,0)*K84</f>
        <v>63000000</v>
      </c>
      <c r="I84"/>
      <c r="J84"/>
      <c r="K84" s="78">
        <v>100000</v>
      </c>
    </row>
    <row r="86" spans="1:11" x14ac:dyDescent="0.2">
      <c r="C86" s="20" t="s">
        <v>31</v>
      </c>
      <c r="D86" s="22" t="s">
        <v>92</v>
      </c>
    </row>
  </sheetData>
  <mergeCells count="1">
    <mergeCell ref="G7:H7"/>
  </mergeCells>
  <printOptions horizontalCentered="1"/>
  <pageMargins left="0.25" right="0.25" top="0.63" bottom="0.5" header="0.25" footer="0.5"/>
  <pageSetup scale="83" orientation="portrait" r:id="rId1"/>
  <headerFooter alignWithMargins="0">
    <oddHeader>&amp;CNorth Carolina Department of Transportation
Preliminary Estimate&amp;R[Page]</oddHeader>
    <oddFooter>Page &amp;P of &amp;N</oddFooter>
  </headerFooter>
  <rowBreaks count="1" manualBreakCount="1">
    <brk id="6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665D3-4B49-451D-BB18-BD27692D7F09}">
  <dimension ref="A1:Q84"/>
  <sheetViews>
    <sheetView zoomScaleNormal="100" workbookViewId="0">
      <selection activeCell="G9" sqref="G9"/>
    </sheetView>
  </sheetViews>
  <sheetFormatPr defaultColWidth="9.33203125" defaultRowHeight="12.75" x14ac:dyDescent="0.2"/>
  <cols>
    <col min="1" max="1" width="5.1640625" style="38" customWidth="1"/>
    <col min="2" max="2" width="7.33203125" style="38" customWidth="1"/>
    <col min="3" max="3" width="6.33203125" style="38" customWidth="1"/>
    <col min="4" max="4" width="55.6640625" style="38" customWidth="1"/>
    <col min="5" max="5" width="13.6640625" style="38" customWidth="1"/>
    <col min="6" max="6" width="7.1640625" style="38" customWidth="1"/>
    <col min="7" max="7" width="16.6640625" style="73" customWidth="1"/>
    <col min="8" max="8" width="20.1640625" style="73" customWidth="1"/>
    <col min="9" max="9" width="3.1640625" style="73" customWidth="1"/>
    <col min="10" max="10" width="17.33203125" style="38" customWidth="1"/>
    <col min="11" max="11" width="18.33203125" style="38" customWidth="1"/>
    <col min="12" max="12" width="5.6640625" style="38" customWidth="1"/>
    <col min="13" max="13" width="6.33203125" style="38" customWidth="1"/>
    <col min="14" max="14" width="7.33203125" style="38" customWidth="1"/>
    <col min="15" max="15" width="8.1640625" style="38" customWidth="1"/>
    <col min="16" max="16" width="3.1640625" style="38" customWidth="1"/>
    <col min="17" max="17" width="18" style="38" customWidth="1"/>
    <col min="18" max="16384" width="9.33203125" style="38"/>
  </cols>
  <sheetData>
    <row r="1" spans="1:9" ht="13.5" thickBot="1" x14ac:dyDescent="0.25">
      <c r="A1" s="38" t="s">
        <v>0</v>
      </c>
      <c r="D1" s="37" t="s">
        <v>64</v>
      </c>
      <c r="E1" s="46" t="s">
        <v>78</v>
      </c>
      <c r="G1" s="63" t="s">
        <v>1</v>
      </c>
      <c r="H1" s="58" t="s">
        <v>68</v>
      </c>
      <c r="I1" s="65"/>
    </row>
    <row r="2" spans="1:9" ht="13.5" thickBot="1" x14ac:dyDescent="0.25">
      <c r="A2" s="38" t="s">
        <v>2</v>
      </c>
      <c r="D2" s="38" t="s">
        <v>110</v>
      </c>
      <c r="E2" s="109"/>
      <c r="G2"/>
      <c r="H2" s="59" t="s">
        <v>67</v>
      </c>
      <c r="I2" s="59"/>
    </row>
    <row r="3" spans="1:9" x14ac:dyDescent="0.2">
      <c r="A3" s="38" t="s">
        <v>3</v>
      </c>
      <c r="G3" s="108"/>
      <c r="H3" s="107" t="s">
        <v>35</v>
      </c>
      <c r="I3" s="106"/>
    </row>
    <row r="4" spans="1:9" ht="13.5" thickBot="1" x14ac:dyDescent="0.25">
      <c r="A4" s="105" t="s">
        <v>4</v>
      </c>
      <c r="B4" s="105"/>
      <c r="C4" s="16"/>
      <c r="D4" s="22" t="s">
        <v>70</v>
      </c>
      <c r="E4" s="22"/>
      <c r="G4" s="23"/>
      <c r="H4" s="43">
        <f>H82</f>
        <v>39500000</v>
      </c>
      <c r="I4" s="67"/>
    </row>
    <row r="5" spans="1:9" ht="12.75" customHeight="1" x14ac:dyDescent="0.2">
      <c r="D5" s="38" t="s">
        <v>110</v>
      </c>
      <c r="G5" s="104"/>
    </row>
    <row r="6" spans="1:9" ht="12.75" customHeight="1" x14ac:dyDescent="0.35">
      <c r="A6" t="s">
        <v>5</v>
      </c>
      <c r="C6" s="102"/>
      <c r="D6" s="38" t="s">
        <v>105</v>
      </c>
      <c r="E6" s="101">
        <v>44334</v>
      </c>
      <c r="F6" s="22"/>
      <c r="G6" s="17"/>
    </row>
    <row r="7" spans="1:9" ht="12.75" customHeight="1" x14ac:dyDescent="0.2">
      <c r="A7" t="s">
        <v>6</v>
      </c>
      <c r="C7" s="102"/>
      <c r="D7" s="38" t="s">
        <v>104</v>
      </c>
      <c r="E7" s="101">
        <v>44340</v>
      </c>
      <c r="G7" s="134" t="s">
        <v>85</v>
      </c>
      <c r="H7" s="134"/>
    </row>
    <row r="8" spans="1:9" ht="12.75" customHeight="1" x14ac:dyDescent="0.2">
      <c r="A8" t="s">
        <v>51</v>
      </c>
      <c r="C8" s="102"/>
      <c r="D8" s="38" t="s">
        <v>103</v>
      </c>
      <c r="E8" s="101">
        <v>44344</v>
      </c>
      <c r="G8" s="125"/>
      <c r="H8" s="124">
        <v>44656</v>
      </c>
      <c r="I8" s="86"/>
    </row>
    <row r="9" spans="1:9" ht="12.75" customHeight="1" thickBot="1" x14ac:dyDescent="0.25">
      <c r="A9"/>
      <c r="C9" s="102"/>
      <c r="D9" s="38" t="s">
        <v>113</v>
      </c>
      <c r="E9" s="64">
        <v>45167</v>
      </c>
      <c r="F9" s="123"/>
      <c r="G9" s="123"/>
      <c r="H9" s="123"/>
      <c r="I9" s="86"/>
    </row>
    <row r="10" spans="1:9" ht="28.5" customHeight="1" thickTop="1" x14ac:dyDescent="0.2">
      <c r="A10" s="2" t="s">
        <v>7</v>
      </c>
      <c r="B10" s="100" t="s">
        <v>8</v>
      </c>
      <c r="C10" s="100" t="s">
        <v>9</v>
      </c>
      <c r="D10" s="99" t="s">
        <v>10</v>
      </c>
      <c r="E10" s="99"/>
      <c r="F10" s="99" t="s">
        <v>11</v>
      </c>
      <c r="G10" s="126" t="s">
        <v>12</v>
      </c>
      <c r="H10" s="98" t="s">
        <v>13</v>
      </c>
      <c r="I10" s="97"/>
    </row>
    <row r="11" spans="1:9" ht="12.95" customHeight="1" x14ac:dyDescent="0.2">
      <c r="A11" s="76"/>
      <c r="B11" s="83"/>
      <c r="C11" s="83"/>
      <c r="D11" s="83" t="s">
        <v>87</v>
      </c>
      <c r="E11" s="129">
        <v>1</v>
      </c>
      <c r="F11" s="130" t="s">
        <v>15</v>
      </c>
      <c r="G11" s="131">
        <f>(J78+J79)*0.05</f>
        <v>1415385.5303030303</v>
      </c>
      <c r="H11" s="132">
        <f t="shared" ref="H11:H12" si="0">SUM(E11*G11)</f>
        <v>1415385.5303030303</v>
      </c>
      <c r="I11" s="97"/>
    </row>
    <row r="12" spans="1:9" ht="12.95" customHeight="1" x14ac:dyDescent="0.2">
      <c r="A12" s="76"/>
      <c r="B12" s="83"/>
      <c r="C12" s="83"/>
      <c r="D12" s="83" t="s">
        <v>88</v>
      </c>
      <c r="E12" s="129">
        <v>1</v>
      </c>
      <c r="F12" s="130" t="s">
        <v>15</v>
      </c>
      <c r="G12" s="131">
        <v>300000</v>
      </c>
      <c r="H12" s="132">
        <f t="shared" si="0"/>
        <v>300000</v>
      </c>
      <c r="I12" s="97"/>
    </row>
    <row r="13" spans="1:9" x14ac:dyDescent="0.2">
      <c r="A13" s="49"/>
      <c r="B13" s="44"/>
      <c r="C13" s="6"/>
      <c r="D13" s="7" t="s">
        <v>20</v>
      </c>
      <c r="E13" s="55">
        <f>E32*2/4840</f>
        <v>4.9311294765840223</v>
      </c>
      <c r="F13" s="6" t="s">
        <v>22</v>
      </c>
      <c r="G13" s="72">
        <v>60000</v>
      </c>
      <c r="H13" s="12">
        <f>SUM(E13*G13)</f>
        <v>295867.76859504136</v>
      </c>
      <c r="I13" s="70"/>
    </row>
    <row r="14" spans="1:9" x14ac:dyDescent="0.2">
      <c r="A14" s="49"/>
      <c r="B14" s="44"/>
      <c r="C14" s="6"/>
      <c r="D14" s="48" t="s">
        <v>54</v>
      </c>
      <c r="E14" s="55">
        <v>100000</v>
      </c>
      <c r="F14" s="6" t="s">
        <v>23</v>
      </c>
      <c r="G14" s="72">
        <v>16</v>
      </c>
      <c r="H14" s="12">
        <f>SUM(E14*G14)</f>
        <v>1600000</v>
      </c>
      <c r="I14" s="70"/>
    </row>
    <row r="15" spans="1:9" x14ac:dyDescent="0.2">
      <c r="A15" s="49"/>
      <c r="B15" s="44"/>
      <c r="C15" s="6"/>
      <c r="D15" s="48" t="s">
        <v>55</v>
      </c>
      <c r="E15" s="55">
        <v>10000</v>
      </c>
      <c r="F15" s="6" t="s">
        <v>23</v>
      </c>
      <c r="G15" s="72">
        <v>13</v>
      </c>
      <c r="H15" s="12">
        <f>SUM(E15*G15)</f>
        <v>130000</v>
      </c>
      <c r="I15" s="70"/>
    </row>
    <row r="16" spans="1:9" hidden="1" x14ac:dyDescent="0.2">
      <c r="A16" s="49"/>
      <c r="B16" s="44"/>
      <c r="C16" s="6"/>
      <c r="D16" s="7" t="s">
        <v>44</v>
      </c>
      <c r="E16" s="55">
        <v>0</v>
      </c>
      <c r="F16" s="6" t="s">
        <v>24</v>
      </c>
      <c r="G16" s="72">
        <v>0</v>
      </c>
      <c r="H16" s="12">
        <f>SUM(E16*G16)</f>
        <v>0</v>
      </c>
      <c r="I16" s="70"/>
    </row>
    <row r="17" spans="1:11" x14ac:dyDescent="0.2">
      <c r="A17" s="49"/>
      <c r="B17" s="44"/>
      <c r="C17" s="6"/>
      <c r="D17" s="7"/>
      <c r="E17" s="56"/>
      <c r="F17" s="6"/>
      <c r="G17" s="72"/>
      <c r="H17" s="12"/>
      <c r="I17" s="70"/>
    </row>
    <row r="18" spans="1:11" x14ac:dyDescent="0.2">
      <c r="A18" s="49"/>
      <c r="B18" s="44"/>
      <c r="C18" s="6"/>
      <c r="D18" s="39" t="s">
        <v>30</v>
      </c>
      <c r="E18" s="55"/>
      <c r="F18" s="6"/>
      <c r="G18" s="72"/>
      <c r="H18" s="12"/>
      <c r="I18" s="70"/>
    </row>
    <row r="19" spans="1:11" hidden="1" x14ac:dyDescent="0.2">
      <c r="A19" s="49"/>
      <c r="B19" s="44"/>
      <c r="C19" s="6"/>
      <c r="D19" s="7" t="s">
        <v>57</v>
      </c>
      <c r="E19" s="96">
        <v>0</v>
      </c>
      <c r="F19" s="6" t="s">
        <v>21</v>
      </c>
      <c r="G19" s="72">
        <v>0</v>
      </c>
      <c r="H19" s="12">
        <f t="shared" ref="H19:H27" si="1">SUM(E19*G19)</f>
        <v>0</v>
      </c>
      <c r="I19" s="70"/>
    </row>
    <row r="20" spans="1:11" hidden="1" x14ac:dyDescent="0.2">
      <c r="A20" s="49"/>
      <c r="B20" s="44"/>
      <c r="C20" s="6"/>
      <c r="D20" s="7" t="s">
        <v>56</v>
      </c>
      <c r="E20" s="96">
        <v>0</v>
      </c>
      <c r="F20" s="6" t="s">
        <v>21</v>
      </c>
      <c r="G20" s="72">
        <v>0</v>
      </c>
      <c r="H20" s="12">
        <f t="shared" si="1"/>
        <v>0</v>
      </c>
      <c r="I20" s="70"/>
    </row>
    <row r="21" spans="1:11" hidden="1" x14ac:dyDescent="0.2">
      <c r="A21" s="49"/>
      <c r="B21" s="44"/>
      <c r="C21" s="6"/>
      <c r="D21" s="7" t="s">
        <v>59</v>
      </c>
      <c r="E21" s="96">
        <v>0</v>
      </c>
      <c r="F21" s="6" t="s">
        <v>21</v>
      </c>
      <c r="G21" s="72">
        <v>0</v>
      </c>
      <c r="H21" s="12">
        <f t="shared" si="1"/>
        <v>0</v>
      </c>
      <c r="I21" s="70"/>
    </row>
    <row r="22" spans="1:11" x14ac:dyDescent="0.2">
      <c r="A22" s="49"/>
      <c r="B22" s="44"/>
      <c r="C22" s="6"/>
      <c r="D22" s="7" t="s">
        <v>50</v>
      </c>
      <c r="E22" s="96">
        <f>1100/5280</f>
        <v>0.20833333333333334</v>
      </c>
      <c r="F22" s="6" t="s">
        <v>21</v>
      </c>
      <c r="G22" s="72">
        <v>800000</v>
      </c>
      <c r="H22" s="94">
        <f t="shared" si="1"/>
        <v>166666.66666666669</v>
      </c>
      <c r="I22" s="93"/>
      <c r="K22" s="47"/>
    </row>
    <row r="23" spans="1:11" hidden="1" x14ac:dyDescent="0.2">
      <c r="A23" s="49"/>
      <c r="B23" s="44"/>
      <c r="C23" s="6"/>
      <c r="D23" s="7" t="s">
        <v>52</v>
      </c>
      <c r="E23" s="96">
        <v>0</v>
      </c>
      <c r="F23" s="6" t="s">
        <v>21</v>
      </c>
      <c r="G23" s="72">
        <v>0</v>
      </c>
      <c r="H23" s="12">
        <f t="shared" si="1"/>
        <v>0</v>
      </c>
      <c r="I23" s="70"/>
    </row>
    <row r="24" spans="1:11" hidden="1" x14ac:dyDescent="0.2">
      <c r="A24" s="49"/>
      <c r="B24" s="44"/>
      <c r="C24" s="6"/>
      <c r="D24" s="7" t="s">
        <v>48</v>
      </c>
      <c r="E24" s="96">
        <v>0</v>
      </c>
      <c r="F24" s="6" t="s">
        <v>21</v>
      </c>
      <c r="G24" s="72">
        <v>0</v>
      </c>
      <c r="H24" s="12">
        <f t="shared" si="1"/>
        <v>0</v>
      </c>
      <c r="I24" s="70"/>
    </row>
    <row r="25" spans="1:11" hidden="1" x14ac:dyDescent="0.2">
      <c r="A25" s="49"/>
      <c r="B25" s="44"/>
      <c r="C25" s="6"/>
      <c r="D25" s="7" t="s">
        <v>53</v>
      </c>
      <c r="E25" s="96">
        <v>0</v>
      </c>
      <c r="F25" s="6" t="s">
        <v>21</v>
      </c>
      <c r="G25" s="72">
        <v>0</v>
      </c>
      <c r="H25" s="12">
        <f t="shared" si="1"/>
        <v>0</v>
      </c>
      <c r="I25" s="70"/>
    </row>
    <row r="26" spans="1:11" x14ac:dyDescent="0.2">
      <c r="A26" s="49"/>
      <c r="B26" s="44"/>
      <c r="C26" s="6"/>
      <c r="D26" s="7" t="s">
        <v>45</v>
      </c>
      <c r="E26" s="96">
        <f>800/5280</f>
        <v>0.15151515151515152</v>
      </c>
      <c r="F26" s="6" t="s">
        <v>21</v>
      </c>
      <c r="G26" s="72">
        <v>350000</v>
      </c>
      <c r="H26" s="12">
        <f t="shared" si="1"/>
        <v>53030.303030303032</v>
      </c>
      <c r="I26" s="70"/>
    </row>
    <row r="27" spans="1:11" hidden="1" x14ac:dyDescent="0.2">
      <c r="A27" s="49"/>
      <c r="B27" s="44"/>
      <c r="C27" s="6"/>
      <c r="D27" s="7" t="s">
        <v>58</v>
      </c>
      <c r="E27" s="96">
        <v>0</v>
      </c>
      <c r="F27" s="6" t="s">
        <v>21</v>
      </c>
      <c r="G27" s="72">
        <v>0</v>
      </c>
      <c r="H27" s="12">
        <f t="shared" si="1"/>
        <v>0</v>
      </c>
      <c r="I27" s="70"/>
    </row>
    <row r="28" spans="1:11" x14ac:dyDescent="0.2">
      <c r="A28" s="49"/>
      <c r="B28" s="44"/>
      <c r="C28" s="6"/>
      <c r="D28" s="7"/>
      <c r="E28" s="57"/>
      <c r="F28" s="6"/>
      <c r="G28" s="72"/>
      <c r="H28" s="12"/>
      <c r="I28" s="70"/>
    </row>
    <row r="29" spans="1:11" x14ac:dyDescent="0.2">
      <c r="A29" s="49"/>
      <c r="B29" s="44"/>
      <c r="C29" s="6"/>
      <c r="D29" s="7" t="s">
        <v>25</v>
      </c>
      <c r="E29" s="56">
        <f>ROUND(E32*1.1, -2)</f>
        <v>13100</v>
      </c>
      <c r="F29" s="6" t="s">
        <v>24</v>
      </c>
      <c r="G29" s="72">
        <v>3</v>
      </c>
      <c r="H29" s="12">
        <f>SUM(E29*G29)</f>
        <v>39300</v>
      </c>
      <c r="I29" s="70"/>
    </row>
    <row r="30" spans="1:11" x14ac:dyDescent="0.2">
      <c r="A30" s="49"/>
      <c r="B30" s="44"/>
      <c r="C30" s="6"/>
      <c r="D30" s="7"/>
      <c r="E30" s="56"/>
      <c r="F30" s="6"/>
      <c r="G30" s="72"/>
      <c r="H30" s="12"/>
      <c r="I30" s="70"/>
    </row>
    <row r="31" spans="1:11" x14ac:dyDescent="0.2">
      <c r="A31" s="49"/>
      <c r="B31" s="44"/>
      <c r="C31" s="6"/>
      <c r="D31" s="39" t="s">
        <v>39</v>
      </c>
      <c r="E31" s="56"/>
      <c r="F31" s="6"/>
      <c r="G31" s="72"/>
      <c r="H31" s="12"/>
      <c r="I31" s="70"/>
    </row>
    <row r="32" spans="1:11" x14ac:dyDescent="0.2">
      <c r="A32" s="49"/>
      <c r="B32" s="44"/>
      <c r="C32" s="6"/>
      <c r="D32" s="7" t="s">
        <v>46</v>
      </c>
      <c r="E32" s="56">
        <f>107400/9</f>
        <v>11933.333333333334</v>
      </c>
      <c r="F32" s="6" t="s">
        <v>24</v>
      </c>
      <c r="G32" s="72">
        <v>75</v>
      </c>
      <c r="H32" s="12">
        <f>SUM(E32*G32)</f>
        <v>895000</v>
      </c>
      <c r="I32" s="70"/>
    </row>
    <row r="33" spans="1:11" x14ac:dyDescent="0.2">
      <c r="A33" s="49"/>
      <c r="B33" s="44"/>
      <c r="C33" s="6"/>
      <c r="D33" s="7" t="s">
        <v>47</v>
      </c>
      <c r="E33" s="56">
        <v>500</v>
      </c>
      <c r="F33" s="6" t="s">
        <v>24</v>
      </c>
      <c r="G33" s="72">
        <v>20</v>
      </c>
      <c r="H33" s="12">
        <f>SUM(E33*G33)</f>
        <v>10000</v>
      </c>
      <c r="I33" s="70"/>
    </row>
    <row r="34" spans="1:11" x14ac:dyDescent="0.2">
      <c r="A34" s="49"/>
      <c r="B34" s="44"/>
      <c r="C34" s="6"/>
      <c r="D34" s="7"/>
      <c r="E34" s="56"/>
      <c r="F34" s="6"/>
      <c r="G34" s="72"/>
      <c r="H34" s="12"/>
      <c r="I34" s="70"/>
      <c r="K34" s="47"/>
    </row>
    <row r="35" spans="1:11" x14ac:dyDescent="0.2">
      <c r="A35" s="49"/>
      <c r="B35" s="44"/>
      <c r="C35" s="6"/>
      <c r="D35" s="7" t="s">
        <v>61</v>
      </c>
      <c r="E35" s="56">
        <v>500</v>
      </c>
      <c r="F35" s="6" t="s">
        <v>27</v>
      </c>
      <c r="G35" s="72">
        <v>35</v>
      </c>
      <c r="H35" s="12">
        <f>SUM(E35*G35)</f>
        <v>17500</v>
      </c>
      <c r="I35" s="70"/>
    </row>
    <row r="36" spans="1:11" x14ac:dyDescent="0.2">
      <c r="A36" s="49"/>
      <c r="B36" s="44"/>
      <c r="C36" s="6"/>
      <c r="D36" s="7"/>
      <c r="E36" s="56"/>
      <c r="F36" s="6"/>
      <c r="G36" s="72"/>
      <c r="H36" s="12"/>
      <c r="I36" s="70"/>
      <c r="K36" s="47"/>
    </row>
    <row r="37" spans="1:11" hidden="1" x14ac:dyDescent="0.2">
      <c r="A37" s="49"/>
      <c r="B37" s="44"/>
      <c r="C37" s="6"/>
      <c r="D37" s="7" t="s">
        <v>73</v>
      </c>
      <c r="E37" s="56">
        <v>0</v>
      </c>
      <c r="F37" s="6" t="s">
        <v>24</v>
      </c>
      <c r="G37" s="72">
        <v>0</v>
      </c>
      <c r="H37" s="12">
        <f>SUM(E37*G37)</f>
        <v>0</v>
      </c>
      <c r="I37" s="70"/>
    </row>
    <row r="38" spans="1:11" hidden="1" x14ac:dyDescent="0.2">
      <c r="A38" s="49"/>
      <c r="B38" s="44"/>
      <c r="C38" s="6"/>
      <c r="D38" s="7"/>
      <c r="E38" s="56"/>
      <c r="F38" s="6"/>
      <c r="G38" s="72"/>
      <c r="H38" s="12"/>
      <c r="I38" s="70"/>
      <c r="K38" s="47"/>
    </row>
    <row r="39" spans="1:11" x14ac:dyDescent="0.2">
      <c r="A39" s="49"/>
      <c r="B39" s="44"/>
      <c r="C39" s="6"/>
      <c r="D39" s="39" t="s">
        <v>41</v>
      </c>
      <c r="E39" s="56"/>
      <c r="F39" s="6"/>
      <c r="G39" s="72"/>
      <c r="H39" s="12"/>
      <c r="I39" s="70"/>
      <c r="K39" s="47"/>
    </row>
    <row r="40" spans="1:11" hidden="1" x14ac:dyDescent="0.2">
      <c r="A40" s="49"/>
      <c r="B40" s="44"/>
      <c r="C40" s="6"/>
      <c r="D40" s="7" t="s">
        <v>49</v>
      </c>
      <c r="E40" s="56">
        <v>0</v>
      </c>
      <c r="F40" s="6" t="s">
        <v>27</v>
      </c>
      <c r="G40" s="72">
        <v>0</v>
      </c>
      <c r="H40" s="12">
        <f>SUM(E40*G40)</f>
        <v>0</v>
      </c>
      <c r="I40" s="70"/>
    </row>
    <row r="41" spans="1:11" x14ac:dyDescent="0.2">
      <c r="A41" s="49"/>
      <c r="B41" s="44"/>
      <c r="C41" s="6"/>
      <c r="D41" s="7" t="s">
        <v>42</v>
      </c>
      <c r="E41" s="56">
        <v>1300</v>
      </c>
      <c r="F41" s="6" t="s">
        <v>27</v>
      </c>
      <c r="G41" s="72">
        <v>25</v>
      </c>
      <c r="H41" s="12">
        <f>SUM(E41*G41)</f>
        <v>32500</v>
      </c>
      <c r="I41" s="70"/>
      <c r="K41" s="47"/>
    </row>
    <row r="42" spans="1:11" x14ac:dyDescent="0.2">
      <c r="A42" s="49"/>
      <c r="B42" s="44"/>
      <c r="C42" s="6"/>
      <c r="D42" s="7" t="s">
        <v>43</v>
      </c>
      <c r="E42" s="56">
        <v>3</v>
      </c>
      <c r="F42" s="6" t="s">
        <v>34</v>
      </c>
      <c r="G42" s="72">
        <v>2600</v>
      </c>
      <c r="H42" s="12">
        <f>SUM(E42*G42)</f>
        <v>7800</v>
      </c>
      <c r="I42" s="70"/>
    </row>
    <row r="43" spans="1:11" x14ac:dyDescent="0.2">
      <c r="A43" s="49"/>
      <c r="B43" s="44"/>
      <c r="C43" s="6"/>
      <c r="D43" s="7" t="s">
        <v>62</v>
      </c>
      <c r="E43" s="56">
        <v>3</v>
      </c>
      <c r="F43" s="6" t="s">
        <v>34</v>
      </c>
      <c r="G43" s="72">
        <v>3600</v>
      </c>
      <c r="H43" s="12">
        <f>SUM(E43*G43)</f>
        <v>10800</v>
      </c>
      <c r="I43" s="70"/>
    </row>
    <row r="44" spans="1:11" x14ac:dyDescent="0.2">
      <c r="A44" s="49"/>
      <c r="B44" s="44"/>
      <c r="C44" s="6"/>
      <c r="D44" s="7"/>
      <c r="E44" s="56"/>
      <c r="F44" s="6"/>
      <c r="G44" s="72"/>
      <c r="H44" s="12"/>
      <c r="I44" s="70"/>
    </row>
    <row r="45" spans="1:11" x14ac:dyDescent="0.2">
      <c r="A45" s="49"/>
      <c r="B45" s="44"/>
      <c r="C45" s="6"/>
      <c r="D45" s="7" t="s">
        <v>102</v>
      </c>
      <c r="E45" s="56">
        <v>1000</v>
      </c>
      <c r="F45" s="6" t="s">
        <v>27</v>
      </c>
      <c r="G45" s="72">
        <v>225</v>
      </c>
      <c r="H45" s="94">
        <f>SUM(E45*G45)</f>
        <v>225000</v>
      </c>
      <c r="I45" s="93"/>
    </row>
    <row r="46" spans="1:11" x14ac:dyDescent="0.2">
      <c r="A46" s="49"/>
      <c r="B46" s="44"/>
      <c r="C46" s="6"/>
      <c r="D46" s="7"/>
      <c r="E46" s="56"/>
      <c r="F46" s="6"/>
      <c r="G46" s="72"/>
      <c r="H46" s="94"/>
      <c r="I46" s="93"/>
      <c r="K46" s="47"/>
    </row>
    <row r="47" spans="1:11" x14ac:dyDescent="0.2">
      <c r="A47" s="49"/>
      <c r="B47" s="44"/>
      <c r="C47" s="6"/>
      <c r="D47" s="7" t="s">
        <v>26</v>
      </c>
      <c r="E47" s="56">
        <f>E13</f>
        <v>4.9311294765840223</v>
      </c>
      <c r="F47" s="6" t="s">
        <v>22</v>
      </c>
      <c r="G47" s="72">
        <v>50000</v>
      </c>
      <c r="H47" s="94">
        <f>SUM(E47*G47)</f>
        <v>246556.47382920113</v>
      </c>
      <c r="I47" s="93"/>
    </row>
    <row r="48" spans="1:11" x14ac:dyDescent="0.2">
      <c r="A48" s="49"/>
      <c r="B48" s="44"/>
      <c r="C48" s="6"/>
      <c r="D48" s="7"/>
      <c r="E48" s="115"/>
      <c r="F48" s="6"/>
      <c r="G48" s="72"/>
      <c r="H48" s="94"/>
      <c r="I48" s="93"/>
    </row>
    <row r="49" spans="1:17" x14ac:dyDescent="0.2">
      <c r="A49" s="49"/>
      <c r="B49" s="44"/>
      <c r="C49" s="6"/>
      <c r="D49" s="7" t="s">
        <v>28</v>
      </c>
      <c r="E49" s="56">
        <v>1</v>
      </c>
      <c r="F49" s="6" t="s">
        <v>15</v>
      </c>
      <c r="G49" s="72">
        <v>400000</v>
      </c>
      <c r="H49" s="94">
        <f>SUM(E49*G49)</f>
        <v>400000</v>
      </c>
      <c r="I49" s="93"/>
    </row>
    <row r="50" spans="1:17" x14ac:dyDescent="0.2">
      <c r="A50" s="49"/>
      <c r="B50" s="44"/>
      <c r="C50" s="6"/>
      <c r="D50" s="7"/>
      <c r="E50" s="57"/>
      <c r="F50" s="6"/>
      <c r="G50" s="72"/>
      <c r="H50" s="12"/>
      <c r="I50" s="70"/>
      <c r="P50" s="40"/>
      <c r="Q50" s="40"/>
    </row>
    <row r="51" spans="1:17" x14ac:dyDescent="0.2">
      <c r="A51" s="49"/>
      <c r="B51" s="44"/>
      <c r="C51" s="6"/>
      <c r="D51" s="39" t="s">
        <v>63</v>
      </c>
      <c r="E51" s="56"/>
      <c r="F51" s="6"/>
      <c r="G51" s="72"/>
      <c r="H51" s="12"/>
      <c r="I51" s="70"/>
      <c r="K51" s="47"/>
      <c r="P51" s="40"/>
      <c r="Q51" s="40"/>
    </row>
    <row r="52" spans="1:17" x14ac:dyDescent="0.2">
      <c r="A52" s="49"/>
      <c r="B52" s="44"/>
      <c r="C52" s="6"/>
      <c r="D52" s="7" t="s">
        <v>109</v>
      </c>
      <c r="E52" s="56">
        <v>1</v>
      </c>
      <c r="F52" s="6" t="s">
        <v>34</v>
      </c>
      <c r="G52" s="72">
        <v>400000</v>
      </c>
      <c r="H52" s="94">
        <f>SUM(E52*G52)</f>
        <v>400000</v>
      </c>
      <c r="I52" s="93"/>
      <c r="K52" s="47"/>
      <c r="P52" s="40"/>
      <c r="Q52" s="40"/>
    </row>
    <row r="53" spans="1:17" x14ac:dyDescent="0.2">
      <c r="A53" s="49"/>
      <c r="B53" s="44"/>
      <c r="C53" s="6"/>
      <c r="D53" s="7"/>
      <c r="E53" s="56"/>
      <c r="F53" s="6"/>
      <c r="G53" s="72"/>
      <c r="H53" s="12"/>
      <c r="I53" s="70"/>
      <c r="K53" s="47"/>
      <c r="P53" s="40"/>
      <c r="Q53" s="40"/>
    </row>
    <row r="54" spans="1:17" x14ac:dyDescent="0.2">
      <c r="A54" s="49"/>
      <c r="B54" s="44"/>
      <c r="C54" s="6"/>
      <c r="D54" s="39" t="s">
        <v>101</v>
      </c>
      <c r="E54" s="56"/>
      <c r="F54" s="6"/>
      <c r="G54" s="72"/>
      <c r="H54" s="94"/>
      <c r="I54" s="93"/>
      <c r="K54" s="47"/>
      <c r="P54" s="40"/>
      <c r="Q54" s="40"/>
    </row>
    <row r="55" spans="1:17" x14ac:dyDescent="0.2">
      <c r="A55" s="49"/>
      <c r="B55" s="44"/>
      <c r="C55" s="6"/>
      <c r="D55" s="7" t="s">
        <v>108</v>
      </c>
      <c r="E55" s="56">
        <v>1</v>
      </c>
      <c r="F55" s="6" t="s">
        <v>34</v>
      </c>
      <c r="G55" s="72">
        <v>225000</v>
      </c>
      <c r="H55" s="94">
        <f>SUM(E55*G55)</f>
        <v>225000</v>
      </c>
      <c r="I55" s="93"/>
      <c r="K55" s="47"/>
      <c r="P55" s="40"/>
      <c r="Q55" s="40"/>
    </row>
    <row r="56" spans="1:17" x14ac:dyDescent="0.2">
      <c r="A56" s="49"/>
      <c r="B56" s="44"/>
      <c r="C56" s="6"/>
      <c r="D56" s="7" t="s">
        <v>99</v>
      </c>
      <c r="E56" s="57"/>
      <c r="F56" s="6"/>
      <c r="G56" s="72"/>
      <c r="H56" s="12"/>
      <c r="I56" s="70"/>
      <c r="P56" s="40"/>
      <c r="Q56" s="40"/>
    </row>
    <row r="57" spans="1:17" x14ac:dyDescent="0.2">
      <c r="A57" s="49"/>
      <c r="B57" s="44"/>
      <c r="C57" s="6"/>
      <c r="D57" s="7"/>
      <c r="E57" s="57"/>
      <c r="F57" s="6"/>
      <c r="G57" s="72"/>
      <c r="H57" s="12"/>
      <c r="I57" s="70"/>
      <c r="P57" s="40"/>
      <c r="Q57" s="40"/>
    </row>
    <row r="58" spans="1:17" x14ac:dyDescent="0.2">
      <c r="A58" s="49"/>
      <c r="B58" s="44"/>
      <c r="C58" s="6"/>
      <c r="D58" s="39" t="s">
        <v>29</v>
      </c>
      <c r="E58" s="55"/>
      <c r="F58" s="6"/>
      <c r="G58" s="72"/>
      <c r="H58" s="12"/>
      <c r="I58" s="70"/>
      <c r="K58" s="47"/>
      <c r="P58" s="40"/>
      <c r="Q58" s="40"/>
    </row>
    <row r="59" spans="1:17" hidden="1" x14ac:dyDescent="0.2">
      <c r="A59" s="49"/>
      <c r="B59" s="44"/>
      <c r="C59" s="6"/>
      <c r="D59" s="7" t="s">
        <v>57</v>
      </c>
      <c r="E59" s="55">
        <f t="shared" ref="E59:E67" si="2">E19</f>
        <v>0</v>
      </c>
      <c r="F59" s="6" t="s">
        <v>21</v>
      </c>
      <c r="G59" s="72">
        <v>0</v>
      </c>
      <c r="H59" s="12">
        <f t="shared" ref="H59:H67" si="3">SUM(E59*G59)</f>
        <v>0</v>
      </c>
      <c r="I59" s="70"/>
      <c r="P59" s="85"/>
      <c r="Q59" s="85"/>
    </row>
    <row r="60" spans="1:17" hidden="1" x14ac:dyDescent="0.2">
      <c r="A60" s="49"/>
      <c r="B60" s="44"/>
      <c r="C60" s="6"/>
      <c r="D60" s="7" t="s">
        <v>56</v>
      </c>
      <c r="E60" s="55">
        <f t="shared" si="2"/>
        <v>0</v>
      </c>
      <c r="F60" s="6" t="s">
        <v>21</v>
      </c>
      <c r="G60" s="72">
        <v>0</v>
      </c>
      <c r="H60" s="12">
        <f t="shared" si="3"/>
        <v>0</v>
      </c>
      <c r="I60" s="70"/>
      <c r="P60" s="85"/>
      <c r="Q60" s="85"/>
    </row>
    <row r="61" spans="1:17" hidden="1" x14ac:dyDescent="0.2">
      <c r="A61" s="49"/>
      <c r="B61" s="44"/>
      <c r="C61" s="6"/>
      <c r="D61" s="7" t="s">
        <v>59</v>
      </c>
      <c r="E61" s="55">
        <f t="shared" si="2"/>
        <v>0</v>
      </c>
      <c r="F61" s="6" t="s">
        <v>21</v>
      </c>
      <c r="G61" s="72">
        <v>0</v>
      </c>
      <c r="H61" s="12">
        <f t="shared" si="3"/>
        <v>0</v>
      </c>
      <c r="I61" s="70"/>
      <c r="P61" s="85"/>
      <c r="Q61" s="85"/>
    </row>
    <row r="62" spans="1:17" x14ac:dyDescent="0.2">
      <c r="A62" s="49"/>
      <c r="B62" s="44"/>
      <c r="C62" s="6"/>
      <c r="D62" s="7" t="s">
        <v>50</v>
      </c>
      <c r="E62" s="55">
        <f t="shared" si="2"/>
        <v>0.20833333333333334</v>
      </c>
      <c r="F62" s="6" t="s">
        <v>21</v>
      </c>
      <c r="G62" s="72">
        <v>50000</v>
      </c>
      <c r="H62" s="94">
        <f t="shared" si="3"/>
        <v>10416.666666666668</v>
      </c>
      <c r="I62" s="93"/>
      <c r="P62" s="85"/>
      <c r="Q62" s="85"/>
    </row>
    <row r="63" spans="1:17" hidden="1" x14ac:dyDescent="0.2">
      <c r="A63" s="49"/>
      <c r="B63" s="44"/>
      <c r="C63" s="6"/>
      <c r="D63" s="7" t="s">
        <v>52</v>
      </c>
      <c r="E63" s="55">
        <f t="shared" si="2"/>
        <v>0</v>
      </c>
      <c r="F63" s="6" t="s">
        <v>21</v>
      </c>
      <c r="G63" s="72">
        <v>0</v>
      </c>
      <c r="H63" s="94">
        <f t="shared" si="3"/>
        <v>0</v>
      </c>
      <c r="I63" s="93"/>
      <c r="P63" s="85"/>
      <c r="Q63" s="85"/>
    </row>
    <row r="64" spans="1:17" hidden="1" x14ac:dyDescent="0.2">
      <c r="A64" s="49"/>
      <c r="B64" s="44"/>
      <c r="C64" s="6"/>
      <c r="D64" s="7" t="s">
        <v>48</v>
      </c>
      <c r="E64" s="55">
        <f t="shared" si="2"/>
        <v>0</v>
      </c>
      <c r="F64" s="6" t="s">
        <v>21</v>
      </c>
      <c r="G64" s="72">
        <v>0</v>
      </c>
      <c r="H64" s="94">
        <f t="shared" si="3"/>
        <v>0</v>
      </c>
      <c r="I64" s="93"/>
      <c r="P64" s="85"/>
      <c r="Q64" s="85"/>
    </row>
    <row r="65" spans="1:17" hidden="1" x14ac:dyDescent="0.2">
      <c r="A65" s="49"/>
      <c r="B65" s="44"/>
      <c r="C65" s="6"/>
      <c r="D65" s="7" t="s">
        <v>53</v>
      </c>
      <c r="E65" s="55">
        <f t="shared" si="2"/>
        <v>0</v>
      </c>
      <c r="F65" s="6" t="s">
        <v>21</v>
      </c>
      <c r="G65" s="72">
        <v>0</v>
      </c>
      <c r="H65" s="94">
        <f t="shared" si="3"/>
        <v>0</v>
      </c>
      <c r="I65" s="93"/>
      <c r="P65" s="85"/>
      <c r="Q65" s="85"/>
    </row>
    <row r="66" spans="1:17" x14ac:dyDescent="0.2">
      <c r="A66" s="49"/>
      <c r="B66" s="44"/>
      <c r="C66" s="6"/>
      <c r="D66" s="7" t="s">
        <v>45</v>
      </c>
      <c r="E66" s="55">
        <f t="shared" si="2"/>
        <v>0.15151515151515152</v>
      </c>
      <c r="F66" s="6" t="s">
        <v>21</v>
      </c>
      <c r="G66" s="72">
        <v>15000</v>
      </c>
      <c r="H66" s="94">
        <f t="shared" si="3"/>
        <v>2272.727272727273</v>
      </c>
      <c r="I66" s="93"/>
      <c r="P66" s="85"/>
      <c r="Q66" s="85"/>
    </row>
    <row r="67" spans="1:17" hidden="1" x14ac:dyDescent="0.2">
      <c r="A67" s="49"/>
      <c r="B67" s="44"/>
      <c r="C67" s="6"/>
      <c r="D67" s="7" t="s">
        <v>58</v>
      </c>
      <c r="E67" s="55">
        <f t="shared" si="2"/>
        <v>0</v>
      </c>
      <c r="F67" s="6" t="s">
        <v>21</v>
      </c>
      <c r="G67" s="72">
        <v>0</v>
      </c>
      <c r="H67" s="94">
        <f t="shared" si="3"/>
        <v>0</v>
      </c>
      <c r="I67" s="93"/>
      <c r="J67" s="85">
        <f>SUM(H13:H67)</f>
        <v>4767710.6060606064</v>
      </c>
      <c r="P67" s="85"/>
      <c r="Q67" s="85"/>
    </row>
    <row r="68" spans="1:17" x14ac:dyDescent="0.2">
      <c r="A68" s="49"/>
      <c r="B68" s="44"/>
      <c r="C68" s="6"/>
      <c r="D68" s="7"/>
      <c r="E68" s="55"/>
      <c r="F68" s="6"/>
      <c r="G68" s="72"/>
      <c r="H68" s="94"/>
      <c r="I68" s="93"/>
      <c r="P68" s="85"/>
      <c r="Q68" s="85"/>
    </row>
    <row r="69" spans="1:17" x14ac:dyDescent="0.2">
      <c r="A69" s="49"/>
      <c r="B69" s="44"/>
      <c r="C69" s="6"/>
      <c r="D69" s="39" t="s">
        <v>60</v>
      </c>
      <c r="E69" s="55"/>
      <c r="F69" s="6"/>
      <c r="G69" s="72"/>
      <c r="H69" s="94"/>
      <c r="I69" s="93"/>
      <c r="K69" s="47"/>
      <c r="P69" s="85"/>
      <c r="Q69" s="85"/>
    </row>
    <row r="70" spans="1:17" x14ac:dyDescent="0.2">
      <c r="A70" s="49"/>
      <c r="B70" s="44"/>
      <c r="C70" s="6"/>
      <c r="D70" s="7" t="s">
        <v>107</v>
      </c>
      <c r="E70" s="55">
        <v>166000</v>
      </c>
      <c r="F70" s="6" t="s">
        <v>71</v>
      </c>
      <c r="G70" s="72">
        <v>140</v>
      </c>
      <c r="H70" s="94">
        <f>SUM(E70*G70)</f>
        <v>23240000</v>
      </c>
      <c r="I70" s="93"/>
      <c r="P70" s="85"/>
      <c r="Q70" s="40"/>
    </row>
    <row r="71" spans="1:17" x14ac:dyDescent="0.2">
      <c r="A71" s="49"/>
      <c r="B71" s="135"/>
      <c r="C71" s="136"/>
      <c r="D71" s="137"/>
      <c r="E71" s="55"/>
      <c r="F71" s="136" t="s">
        <v>71</v>
      </c>
      <c r="G71" s="72">
        <v>0</v>
      </c>
      <c r="H71" s="94">
        <f>SUM(E71*G71)</f>
        <v>0</v>
      </c>
      <c r="I71" s="93"/>
      <c r="P71" s="85"/>
      <c r="Q71" s="40"/>
    </row>
    <row r="72" spans="1:17" hidden="1" x14ac:dyDescent="0.2">
      <c r="A72" s="49"/>
      <c r="B72" s="135"/>
      <c r="C72" s="136"/>
      <c r="D72" s="137"/>
      <c r="E72" s="55"/>
      <c r="F72" s="136"/>
      <c r="G72" s="72"/>
      <c r="H72" s="94"/>
      <c r="I72" s="70"/>
      <c r="P72" s="85"/>
      <c r="Q72" s="40"/>
    </row>
    <row r="73" spans="1:17" hidden="1" x14ac:dyDescent="0.2">
      <c r="A73" s="49"/>
      <c r="B73" s="135"/>
      <c r="C73" s="136"/>
      <c r="D73" s="137" t="s">
        <v>65</v>
      </c>
      <c r="E73" s="55">
        <v>0</v>
      </c>
      <c r="F73" s="136" t="s">
        <v>34</v>
      </c>
      <c r="G73" s="72">
        <v>0</v>
      </c>
      <c r="H73" s="94">
        <f>SUM(E73*G73)</f>
        <v>0</v>
      </c>
      <c r="I73" s="70"/>
      <c r="P73" s="85"/>
      <c r="Q73" s="40"/>
    </row>
    <row r="74" spans="1:17" hidden="1" x14ac:dyDescent="0.2">
      <c r="A74" s="50"/>
      <c r="B74" s="135"/>
      <c r="C74" s="136"/>
      <c r="D74" s="137"/>
      <c r="E74" s="55"/>
      <c r="F74" s="136"/>
      <c r="G74" s="72"/>
      <c r="H74" s="94"/>
      <c r="I74" s="70"/>
      <c r="K74" s="47"/>
      <c r="P74" s="85"/>
    </row>
    <row r="75" spans="1:17" ht="12.75" customHeight="1" x14ac:dyDescent="0.2">
      <c r="A75" s="50"/>
      <c r="B75" s="135"/>
      <c r="C75" s="136"/>
      <c r="D75" s="138" t="s">
        <v>36</v>
      </c>
      <c r="E75" s="56"/>
      <c r="F75" s="136"/>
      <c r="G75" s="72"/>
      <c r="H75" s="94"/>
      <c r="I75" s="70"/>
      <c r="K75" s="85"/>
      <c r="P75" s="85"/>
      <c r="Q75" s="85"/>
    </row>
    <row r="76" spans="1:17" x14ac:dyDescent="0.2">
      <c r="A76" s="50"/>
      <c r="B76" s="135"/>
      <c r="C76" s="136"/>
      <c r="D76" s="137" t="s">
        <v>40</v>
      </c>
      <c r="E76" s="56">
        <v>1</v>
      </c>
      <c r="F76" s="136" t="s">
        <v>15</v>
      </c>
      <c r="G76" s="72">
        <v>0</v>
      </c>
      <c r="H76" s="94">
        <f>SUM(E76*G76)</f>
        <v>0</v>
      </c>
      <c r="I76" s="93"/>
      <c r="J76" s="85">
        <f>SUM(H69:H76)</f>
        <v>23240000</v>
      </c>
      <c r="K76" s="85"/>
      <c r="P76" s="85"/>
      <c r="Q76" s="85"/>
    </row>
    <row r="77" spans="1:17" x14ac:dyDescent="0.2">
      <c r="A77" s="50"/>
      <c r="B77" s="135"/>
      <c r="C77" s="136"/>
      <c r="D77" s="137"/>
      <c r="E77" s="56"/>
      <c r="F77" s="136"/>
      <c r="G77" s="72"/>
      <c r="H77" s="94"/>
      <c r="I77" s="70"/>
      <c r="K77" s="85"/>
    </row>
    <row r="78" spans="1:17" x14ac:dyDescent="0.2">
      <c r="A78" s="49"/>
      <c r="B78" s="6"/>
      <c r="C78" s="6"/>
      <c r="D78" s="92" t="s">
        <v>37</v>
      </c>
      <c r="E78" s="26">
        <v>1</v>
      </c>
      <c r="F78" s="6" t="s">
        <v>15</v>
      </c>
      <c r="G78" s="11">
        <v>3137400</v>
      </c>
      <c r="H78" s="77">
        <f>ROUND(J78*K78,-3)</f>
        <v>2348000</v>
      </c>
      <c r="I78"/>
      <c r="J78" s="78">
        <f>SUM(H55:H77)</f>
        <v>23477689.393939395</v>
      </c>
      <c r="K78">
        <v>0.1</v>
      </c>
      <c r="P78" s="85"/>
      <c r="Q78" s="85"/>
    </row>
    <row r="79" spans="1:17" ht="13.5" thickBot="1" x14ac:dyDescent="0.25">
      <c r="A79" s="91"/>
      <c r="B79" s="88" t="s">
        <v>14</v>
      </c>
      <c r="C79" s="88" t="s">
        <v>14</v>
      </c>
      <c r="D79" s="90" t="s">
        <v>38</v>
      </c>
      <c r="E79" s="89">
        <v>1</v>
      </c>
      <c r="F79" s="88" t="s">
        <v>15</v>
      </c>
      <c r="G79" s="54">
        <v>1845968</v>
      </c>
      <c r="H79" s="79">
        <f>ROUND(J79*K79,-3)</f>
        <v>1932000</v>
      </c>
      <c r="I79"/>
      <c r="J79" s="78">
        <f>SUM(H$12:H77)-J78</f>
        <v>4830021.212121211</v>
      </c>
      <c r="K79">
        <v>0.4</v>
      </c>
    </row>
    <row r="80" spans="1:17" ht="13.5" thickTop="1" x14ac:dyDescent="0.2">
      <c r="A80" s="38" t="s">
        <v>32</v>
      </c>
      <c r="B80" s="87"/>
      <c r="C80" s="22" t="s">
        <v>21</v>
      </c>
      <c r="D80" s="20" t="s">
        <v>16</v>
      </c>
      <c r="E80" s="38" t="s">
        <v>17</v>
      </c>
      <c r="G80" s="73" t="s">
        <v>18</v>
      </c>
      <c r="H80" s="80">
        <f>ROUNDUP((H11)+J79*(1+K79)+J78*(1+K78),-3)</f>
        <v>34003000</v>
      </c>
      <c r="I80"/>
      <c r="J80"/>
      <c r="K80"/>
    </row>
    <row r="81" spans="3:11" x14ac:dyDescent="0.2">
      <c r="D81" s="21" t="s">
        <v>89</v>
      </c>
      <c r="E81" s="38" t="s">
        <v>17</v>
      </c>
      <c r="F81" s="18"/>
      <c r="G81" s="73" t="s">
        <v>18</v>
      </c>
      <c r="H81" s="81">
        <f>H82-H80</f>
        <v>5497000</v>
      </c>
      <c r="I81"/>
      <c r="J81"/>
      <c r="K81">
        <v>1.1599999999999999</v>
      </c>
    </row>
    <row r="82" spans="3:11" x14ac:dyDescent="0.2">
      <c r="D82" s="20" t="s">
        <v>19</v>
      </c>
      <c r="E82" s="38" t="s">
        <v>17</v>
      </c>
      <c r="G82" s="73" t="s">
        <v>18</v>
      </c>
      <c r="H82" s="82">
        <f>ROUNDUP(H80*K81/K82,0)*K82</f>
        <v>39500000</v>
      </c>
      <c r="I82"/>
      <c r="J82"/>
      <c r="K82" s="78">
        <v>100000</v>
      </c>
    </row>
    <row r="84" spans="3:11" x14ac:dyDescent="0.2">
      <c r="C84" s="20" t="s">
        <v>31</v>
      </c>
      <c r="D84" s="22" t="s">
        <v>33</v>
      </c>
    </row>
  </sheetData>
  <mergeCells count="1">
    <mergeCell ref="G7:H7"/>
  </mergeCells>
  <printOptions horizontalCentered="1"/>
  <pageMargins left="0.25" right="0.25" top="0.63" bottom="0.5" header="0.25" footer="0.5"/>
  <pageSetup scale="75" orientation="portrait" r:id="rId1"/>
  <headerFooter alignWithMargins="0">
    <oddHeader>&amp;CNorth Carolina Department of Transportation
Preliminary Estimate&amp;R[Page]</oddHeader>
    <oddFooter>Page &amp;P of &amp;N</oddFooter>
  </headerFooter>
  <rowBreaks count="1" manualBreakCount="1">
    <brk id="6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A4" workbookViewId="0">
      <selection activeCell="N26" sqref="N26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272221b6-5ce8-435b-bb88-0bb3f742903e" xsi:nil="true"/>
    <Category xmlns="272221b6-5ce8-435b-bb88-0bb3f742903e">Response to USDOT Request</Category>
    <URL xmlns="http://schemas.microsoft.com/sharepoint/v3">
      <Url xsi:nil="true"/>
      <Description xsi:nil="true"/>
    </URL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D3971040F2424FA5BE87FA97F2D4F3" ma:contentTypeVersion="6" ma:contentTypeDescription="Create a new document." ma:contentTypeScope="" ma:versionID="81ea126f60aec2987b9cff51a495d877">
  <xsd:schema xmlns:xsd="http://www.w3.org/2001/XMLSchema" xmlns:xs="http://www.w3.org/2001/XMLSchema" xmlns:p="http://schemas.microsoft.com/office/2006/metadata/properties" xmlns:ns1="http://schemas.microsoft.com/sharepoint/v3" xmlns:ns2="272221b6-5ce8-435b-bb88-0bb3f742903e" xmlns:ns3="16f00c2e-ac5c-418b-9f13-a0771dbd417d" targetNamespace="http://schemas.microsoft.com/office/2006/metadata/properties" ma:root="true" ma:fieldsID="37e0ec6901b06ce6bed4296a68c72ee2" ns1:_="" ns2:_="" ns3:_="">
    <xsd:import namespace="http://schemas.microsoft.com/sharepoint/v3"/>
    <xsd:import namespace="272221b6-5ce8-435b-bb88-0bb3f742903e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Category" minOccurs="0"/>
                <xsd:element ref="ns2:SortOrder" minOccurs="0"/>
                <xsd:element ref="ns3:_dlc_DocId" minOccurs="0"/>
                <xsd:element ref="ns3:_dlc_DocIdUrl" minOccurs="0"/>
                <xsd:element ref="ns3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221b6-5ce8-435b-bb88-0bb3f742903e" elementFormDefault="qualified">
    <xsd:import namespace="http://schemas.microsoft.com/office/2006/documentManagement/types"/>
    <xsd:import namespace="http://schemas.microsoft.com/office/infopath/2007/PartnerControls"/>
    <xsd:element name="Category" ma:index="3" nillable="true" ma:displayName="Category" ma:format="Dropdown" ma:internalName="Category" ma:readOnly="false">
      <xsd:simpleType>
        <xsd:restriction base="dms:Choice">
          <xsd:enumeration value="Appendices and Supporting Information"/>
          <xsd:enumeration value="Application Information"/>
          <xsd:enumeration value="Business"/>
          <xsd:enumeration value="Benefit-Cost Analysis"/>
          <xsd:enumeration value="Letters of Support"/>
          <xsd:enumeration value="NC Government"/>
          <xsd:enumeration value="Organizations"/>
          <xsd:enumeration value="Criterion 1"/>
          <xsd:enumeration value="Criterion 2"/>
          <xsd:enumeration value="Criterion 3"/>
          <xsd:enumeration value="Criterion 4"/>
          <xsd:enumeration value="Criterion 5"/>
          <xsd:enumeration value="Criterion 6"/>
          <xsd:enumeration value="Response to USDOT Request"/>
        </xsd:restriction>
      </xsd:simpleType>
    </xsd:element>
    <xsd:element name="SortOrder" ma:index="4" nillable="true" ma:displayName="SortOrder" ma:decimals="0" ma:internalName="SortOrder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B6F291E4-56BF-4AB3-97DB-084C69CBB670}">
  <ds:schemaRefs>
    <ds:schemaRef ds:uri="http://schemas.microsoft.com/office/2006/metadata/properties"/>
    <ds:schemaRef ds:uri="http://schemas.microsoft.com/office/infopath/2007/PartnerControls"/>
    <ds:schemaRef ds:uri="084f7c45-40c1-4552-b9db-b0297b44ff26"/>
    <ds:schemaRef ds:uri="6440e8d9-cb18-4a35-8de7-2a020f6592ee"/>
  </ds:schemaRefs>
</ds:datastoreItem>
</file>

<file path=customXml/itemProps2.xml><?xml version="1.0" encoding="utf-8"?>
<ds:datastoreItem xmlns:ds="http://schemas.openxmlformats.org/officeDocument/2006/customXml" ds:itemID="{7328D140-A414-4C2A-AD6A-846AE3A3F8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ABC157-D810-4211-B805-FBECA655DBF8}"/>
</file>

<file path=customXml/itemProps4.xml><?xml version="1.0" encoding="utf-8"?>
<ds:datastoreItem xmlns:ds="http://schemas.openxmlformats.org/officeDocument/2006/customXml" ds:itemID="{1DAEE4A1-1A20-4DAF-93C7-04A643ECDC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H185357_135 ftFixedSpan08242023</vt:lpstr>
      <vt:lpstr>H185357_W of Bridge F 08242023</vt:lpstr>
      <vt:lpstr>H185357_Wof Bridge(tmp)08242023</vt:lpstr>
      <vt:lpstr>Sheet1</vt:lpstr>
      <vt:lpstr>'H185357_135 ftFixedSpan08242023'!Print_Area</vt:lpstr>
      <vt:lpstr>'H185357_W of Bridge F 08242023'!Print_Area</vt:lpstr>
      <vt:lpstr>'H185357_Wof Bridge(tmp)08242023'!Print_Area</vt:lpstr>
      <vt:lpstr>'H185357_135 ftFixedSpan08242023'!Print_Titles</vt:lpstr>
      <vt:lpstr>'H185357_W of Bridge F 08242023'!Print_Titles</vt:lpstr>
      <vt:lpstr>'H185357_Wof Bridge(tmp)08242023'!Print_Titles</vt:lpstr>
    </vt:vector>
  </TitlesOfParts>
  <Company>ncdot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Construction Cost Estimate Final</dc:title>
  <dc:creator>Chad</dc:creator>
  <cp:lastModifiedBy>Shuller, Daniel R</cp:lastModifiedBy>
  <cp:lastPrinted>2022-04-28T14:03:17Z</cp:lastPrinted>
  <dcterms:created xsi:type="dcterms:W3CDTF">1998-02-19T20:20:46Z</dcterms:created>
  <dcterms:modified xsi:type="dcterms:W3CDTF">2023-09-27T12:41:09Z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0x0101002CD3971040F2424FA5BE87FA97F2D4F3</vt:lpwstr>
  </property>
  <property fmtid="{D5CDD505-2E9C-101B-9397-08002B2CF9AE}" pid="3" name="Order">
    <vt:r8>2500</vt:r8>
  </property>
</Properties>
</file>